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24666f4bd078e6d/Documentos/2 Propuesta Tecnologias Tratamiento y Piscicultura/Actualizacion 2023/Contenidos 23/"/>
    </mc:Choice>
  </mc:AlternateContent>
  <xr:revisionPtr revIDLastSave="60" documentId="13_ncr:1_{126419B8-F6E2-4219-8837-68D4BD49016A}" xr6:coauthVersionLast="47" xr6:coauthVersionMax="47" xr10:uidLastSave="{30D4B8FB-B13D-4EDF-AD05-481A08B0C9FE}"/>
  <bookViews>
    <workbookView xWindow="-120" yWindow="-120" windowWidth="19440" windowHeight="15000" tabRatio="847" activeTab="1" xr2:uid="{00000000-000D-0000-FFFF-FFFF00000000}"/>
  </bookViews>
  <sheets>
    <sheet name="Parrilla de Aireación" sheetId="7" r:id="rId1"/>
    <sheet name="Conjunto BF" sheetId="2" r:id="rId2"/>
    <sheet name="Tuberías" sheetId="19" r:id="rId3"/>
    <sheet name="Manguera de Succion" sheetId="14" r:id="rId4"/>
    <sheet name="Nitrificación" sheetId="15" r:id="rId5"/>
    <sheet name="Agua-T(°C)" sheetId="12" r:id="rId6"/>
    <sheet name="Flotabilidad Biorreactor" sheetId="16" r:id="rId7"/>
    <sheet name="Altenativas de Bombas" sheetId="18" r:id="rId8"/>
  </sheets>
  <externalReferences>
    <externalReference r:id="rId9"/>
  </externalReferences>
  <definedNames>
    <definedName name="_8.00">'Agua-T(°C)'!#REF!</definedName>
    <definedName name="_Hlk60413161" localSheetId="1">'Conjunto BF'!#REF!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7" i="2" l="1"/>
  <c r="H44" i="7"/>
  <c r="G43" i="7"/>
  <c r="G45" i="7"/>
  <c r="G42" i="7"/>
  <c r="G41" i="7"/>
  <c r="E44" i="7"/>
  <c r="G69" i="2"/>
  <c r="H38" i="7"/>
  <c r="G18" i="2"/>
  <c r="E18" i="2"/>
  <c r="D19" i="2" s="1"/>
  <c r="G20" i="2"/>
  <c r="G21" i="2" s="1"/>
  <c r="E20" i="2"/>
  <c r="E21" i="2" s="1"/>
  <c r="H15" i="2"/>
  <c r="E50" i="2"/>
  <c r="E78" i="2" s="1"/>
  <c r="G82" i="2"/>
  <c r="E82" i="2"/>
  <c r="H81" i="2"/>
  <c r="H80" i="2"/>
  <c r="H79" i="2"/>
  <c r="H21" i="2" l="1"/>
  <c r="H18" i="2"/>
  <c r="H20" i="2"/>
  <c r="H82" i="2"/>
  <c r="G36" i="2" l="1"/>
  <c r="H42" i="2"/>
  <c r="H44" i="2"/>
  <c r="H49" i="2"/>
  <c r="G50" i="2"/>
  <c r="E68" i="2"/>
  <c r="G68" i="2"/>
  <c r="G72" i="2" s="1"/>
  <c r="H70" i="2"/>
  <c r="H71" i="2"/>
  <c r="E74" i="2"/>
  <c r="G74" i="2"/>
  <c r="E53" i="2"/>
  <c r="G53" i="2"/>
  <c r="E59" i="2"/>
  <c r="G59" i="2"/>
  <c r="H62" i="2"/>
  <c r="H63" i="2"/>
  <c r="E64" i="2"/>
  <c r="G64" i="2"/>
  <c r="G78" i="2" l="1"/>
  <c r="E83" i="2"/>
  <c r="H74" i="2"/>
  <c r="H64" i="2"/>
  <c r="H50" i="2"/>
  <c r="G55" i="2"/>
  <c r="H53" i="2"/>
  <c r="H59" i="2"/>
  <c r="H68" i="2"/>
  <c r="E55" i="2"/>
  <c r="G73" i="2"/>
  <c r="H78" i="2" l="1"/>
  <c r="G83" i="2"/>
  <c r="H83" i="2" s="1"/>
  <c r="E24" i="2"/>
  <c r="E84" i="2"/>
  <c r="H55" i="2"/>
  <c r="G75" i="2"/>
  <c r="G84" i="2" l="1"/>
  <c r="H84" i="2" s="1"/>
  <c r="G24" i="2"/>
  <c r="H24" i="2" s="1"/>
  <c r="H14" i="7" l="1"/>
  <c r="G4" i="14"/>
  <c r="H45" i="19"/>
  <c r="H44" i="19"/>
  <c r="H42" i="19"/>
  <c r="H35" i="19"/>
  <c r="H33" i="19"/>
  <c r="H26" i="19"/>
  <c r="H25" i="19"/>
  <c r="H23" i="19"/>
  <c r="H18" i="19"/>
  <c r="H17" i="19"/>
  <c r="H15" i="19"/>
  <c r="H8" i="19"/>
  <c r="H7" i="19"/>
  <c r="H5" i="19"/>
  <c r="G15" i="14"/>
  <c r="G13" i="14"/>
  <c r="G9" i="14"/>
  <c r="G6" i="14"/>
  <c r="F7" i="14"/>
  <c r="F8" i="14" s="1"/>
  <c r="F10" i="14" s="1"/>
  <c r="H40" i="2"/>
  <c r="H37" i="2"/>
  <c r="H35" i="2"/>
  <c r="H29" i="2"/>
  <c r="H27" i="2"/>
  <c r="G34" i="2"/>
  <c r="G38" i="2" s="1"/>
  <c r="G28" i="2"/>
  <c r="H58" i="7"/>
  <c r="G30" i="2" l="1"/>
  <c r="G51" i="2" s="1"/>
  <c r="G16" i="2" s="1"/>
  <c r="G17" i="2" s="1"/>
  <c r="H19" i="2"/>
  <c r="G32" i="2"/>
  <c r="E32" i="2"/>
  <c r="G39" i="2" l="1"/>
  <c r="H32" i="2"/>
  <c r="G31" i="2"/>
  <c r="E69" i="2" l="1"/>
  <c r="E72" i="2" s="1"/>
  <c r="G41" i="2"/>
  <c r="G58" i="2"/>
  <c r="E34" i="2"/>
  <c r="E36" i="2"/>
  <c r="H36" i="2" s="1"/>
  <c r="E73" i="2" l="1"/>
  <c r="H72" i="2"/>
  <c r="H69" i="2"/>
  <c r="G60" i="2"/>
  <c r="G43" i="2"/>
  <c r="E38" i="2"/>
  <c r="H38" i="2" s="1"/>
  <c r="H34" i="2"/>
  <c r="E75" i="2" l="1"/>
  <c r="H73" i="2"/>
  <c r="G45" i="2"/>
  <c r="G61" i="2"/>
  <c r="G22" i="2" s="1"/>
  <c r="E39" i="2"/>
  <c r="E58" i="2" s="1"/>
  <c r="H75" i="2" l="1"/>
  <c r="H39" i="2"/>
  <c r="E41" i="2"/>
  <c r="G46" i="2"/>
  <c r="E28" i="2"/>
  <c r="E43" i="2" l="1"/>
  <c r="H41" i="2"/>
  <c r="E60" i="2"/>
  <c r="H58" i="2"/>
  <c r="G48" i="2"/>
  <c r="E30" i="2"/>
  <c r="H28" i="2"/>
  <c r="E31" i="2" l="1"/>
  <c r="H31" i="2" s="1"/>
  <c r="E51" i="2"/>
  <c r="E16" i="2" s="1"/>
  <c r="E17" i="2" s="1"/>
  <c r="H17" i="2" s="1"/>
  <c r="E61" i="2"/>
  <c r="H60" i="2"/>
  <c r="E45" i="2"/>
  <c r="H45" i="2" s="1"/>
  <c r="H43" i="2"/>
  <c r="H30" i="2"/>
  <c r="H61" i="2" l="1"/>
  <c r="E22" i="2"/>
  <c r="H22" i="2" s="1"/>
  <c r="H16" i="2"/>
  <c r="E46" i="2"/>
  <c r="H51" i="2"/>
  <c r="D30" i="2"/>
  <c r="D49" i="2" s="1"/>
  <c r="G68" i="7"/>
  <c r="H68" i="7" s="1"/>
  <c r="E63" i="7"/>
  <c r="H32" i="7"/>
  <c r="H46" i="2" l="1"/>
  <c r="E48" i="2"/>
  <c r="H48" i="2" s="1"/>
  <c r="G63" i="7"/>
  <c r="H63" i="7" s="1"/>
  <c r="G18" i="16" l="1"/>
  <c r="D7" i="14" l="1"/>
  <c r="D8" i="14" l="1"/>
  <c r="G7" i="14"/>
  <c r="B19" i="14"/>
  <c r="G47" i="7"/>
  <c r="G33" i="7"/>
  <c r="H55" i="7"/>
  <c r="H54" i="7"/>
  <c r="H51" i="7"/>
  <c r="H49" i="7"/>
  <c r="H29" i="7"/>
  <c r="H28" i="7"/>
  <c r="H27" i="7"/>
  <c r="H22" i="7"/>
  <c r="H18" i="7"/>
  <c r="H17" i="7"/>
  <c r="H15" i="7"/>
  <c r="G30" i="7"/>
  <c r="G31" i="7" s="1"/>
  <c r="G20" i="7"/>
  <c r="G35" i="7" s="1"/>
  <c r="G19" i="7"/>
  <c r="G16" i="7"/>
  <c r="G39" i="7" l="1"/>
  <c r="D10" i="14"/>
  <c r="G8" i="14"/>
  <c r="G21" i="7"/>
  <c r="G34" i="7"/>
  <c r="G40" i="7" l="1"/>
  <c r="G46" i="7" s="1"/>
  <c r="G37" i="7"/>
  <c r="G10" i="14"/>
  <c r="G23" i="7"/>
  <c r="G48" i="7" l="1"/>
  <c r="G24" i="7"/>
  <c r="G16" i="19" l="1"/>
  <c r="G62" i="7"/>
  <c r="G25" i="7"/>
  <c r="G52" i="2" s="1"/>
  <c r="G50" i="7"/>
  <c r="G56" i="2" l="1"/>
  <c r="G19" i="19"/>
  <c r="G24" i="19"/>
  <c r="G20" i="19"/>
  <c r="G6" i="19"/>
  <c r="G43" i="19"/>
  <c r="G52" i="7"/>
  <c r="G53" i="7" s="1"/>
  <c r="G46" i="19" l="1"/>
  <c r="G47" i="19"/>
  <c r="G21" i="19"/>
  <c r="G9" i="19"/>
  <c r="G10" i="19"/>
  <c r="G34" i="19"/>
  <c r="G28" i="19"/>
  <c r="G27" i="19"/>
  <c r="G14" i="19"/>
  <c r="G29" i="19" l="1"/>
  <c r="G11" i="19"/>
  <c r="G36" i="19"/>
  <c r="G48" i="19"/>
  <c r="E33" i="7"/>
  <c r="G15" i="16"/>
  <c r="C6" i="16"/>
  <c r="G31" i="19" l="1"/>
  <c r="G51" i="19"/>
  <c r="G52" i="19"/>
  <c r="G50" i="19"/>
  <c r="G37" i="19"/>
  <c r="G13" i="19"/>
  <c r="H33" i="7"/>
  <c r="G40" i="19" l="1"/>
  <c r="G39" i="19"/>
  <c r="G41" i="19"/>
  <c r="G22" i="19"/>
  <c r="G4" i="19"/>
  <c r="E4" i="16"/>
  <c r="G4" i="16" s="1"/>
  <c r="E5" i="16"/>
  <c r="G5" i="16" s="1"/>
  <c r="E7" i="16"/>
  <c r="E6" i="16"/>
  <c r="C12" i="16"/>
  <c r="G12" i="16" s="1"/>
  <c r="G11" i="16"/>
  <c r="E11" i="16"/>
  <c r="C11" i="16"/>
  <c r="C10" i="16"/>
  <c r="G10" i="16" s="1"/>
  <c r="E9" i="16"/>
  <c r="C9" i="16"/>
  <c r="G7" i="16"/>
  <c r="G6" i="16"/>
  <c r="G32" i="19" l="1"/>
  <c r="G3" i="19" s="1"/>
  <c r="G9" i="16"/>
  <c r="G8" i="16"/>
  <c r="G13" i="16" s="1"/>
  <c r="G14" i="16" s="1"/>
  <c r="G16" i="16" l="1"/>
  <c r="B20" i="14" l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E47" i="7" l="1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B7" i="12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H47" i="7" l="1"/>
  <c r="E20" i="7" l="1"/>
  <c r="E41" i="7" s="1"/>
  <c r="E42" i="7" l="1"/>
  <c r="H41" i="7"/>
  <c r="E35" i="7"/>
  <c r="H20" i="7"/>
  <c r="H42" i="7" l="1"/>
  <c r="H35" i="7"/>
  <c r="G56" i="7" l="1"/>
  <c r="G57" i="7" s="1"/>
  <c r="G59" i="7" s="1"/>
  <c r="G47" i="2" s="1"/>
  <c r="H14" i="2" s="1"/>
  <c r="E30" i="7" l="1"/>
  <c r="E19" i="7"/>
  <c r="E16" i="7"/>
  <c r="E64" i="7" l="1"/>
  <c r="G64" i="7"/>
  <c r="H64" i="7" s="1"/>
  <c r="H16" i="7"/>
  <c r="H19" i="7"/>
  <c r="H30" i="7"/>
  <c r="E31" i="7"/>
  <c r="E34" i="7"/>
  <c r="E21" i="7"/>
  <c r="H34" i="7" l="1"/>
  <c r="H31" i="7"/>
  <c r="E23" i="7"/>
  <c r="E48" i="7" s="1"/>
  <c r="H21" i="7"/>
  <c r="E50" i="7" l="1"/>
  <c r="H48" i="7"/>
  <c r="E24" i="7"/>
  <c r="E43" i="7" s="1"/>
  <c r="E45" i="7" s="1"/>
  <c r="D45" i="7" s="1"/>
  <c r="H23" i="7"/>
  <c r="E25" i="7"/>
  <c r="E52" i="2" s="1"/>
  <c r="H43" i="7" l="1"/>
  <c r="E56" i="2"/>
  <c r="H52" i="2"/>
  <c r="F62" i="7"/>
  <c r="E16" i="19"/>
  <c r="H25" i="7"/>
  <c r="H24" i="7"/>
  <c r="E52" i="7"/>
  <c r="E53" i="7" s="1"/>
  <c r="H50" i="7"/>
  <c r="H45" i="7" l="1"/>
  <c r="D56" i="2"/>
  <c r="H56" i="2"/>
  <c r="E19" i="19"/>
  <c r="E43" i="19"/>
  <c r="E20" i="19"/>
  <c r="E6" i="19"/>
  <c r="E24" i="19"/>
  <c r="H16" i="19"/>
  <c r="D5" i="14"/>
  <c r="F5" i="14"/>
  <c r="F11" i="14" s="1"/>
  <c r="F14" i="14" s="1"/>
  <c r="F16" i="14" s="1"/>
  <c r="E62" i="7"/>
  <c r="D4" i="18" s="1"/>
  <c r="H62" i="7"/>
  <c r="D62" i="7"/>
  <c r="C4" i="18" s="1"/>
  <c r="H52" i="7"/>
  <c r="E46" i="19" l="1"/>
  <c r="E47" i="19"/>
  <c r="H43" i="19"/>
  <c r="E27" i="19"/>
  <c r="E28" i="19"/>
  <c r="E34" i="19"/>
  <c r="H24" i="19"/>
  <c r="E21" i="19"/>
  <c r="H21" i="19" s="1"/>
  <c r="H19" i="19"/>
  <c r="E9" i="19"/>
  <c r="E10" i="19"/>
  <c r="H6" i="19"/>
  <c r="G5" i="14"/>
  <c r="E14" i="19"/>
  <c r="H14" i="19" s="1"/>
  <c r="H20" i="19"/>
  <c r="D11" i="14"/>
  <c r="G11" i="14" s="1"/>
  <c r="C19" i="14"/>
  <c r="H53" i="7"/>
  <c r="H10" i="19" l="1"/>
  <c r="E36" i="19"/>
  <c r="H34" i="19"/>
  <c r="E29" i="19"/>
  <c r="H27" i="19"/>
  <c r="E11" i="19"/>
  <c r="H9" i="19"/>
  <c r="H47" i="19"/>
  <c r="H28" i="19"/>
  <c r="E48" i="19"/>
  <c r="H46" i="19"/>
  <c r="F19" i="14"/>
  <c r="D19" i="14"/>
  <c r="E4" i="18"/>
  <c r="E13" i="19" l="1"/>
  <c r="H11" i="19"/>
  <c r="E37" i="19"/>
  <c r="H36" i="19"/>
  <c r="E52" i="19"/>
  <c r="H52" i="19" s="1"/>
  <c r="E51" i="19"/>
  <c r="H51" i="19" s="1"/>
  <c r="E50" i="19"/>
  <c r="H48" i="19"/>
  <c r="E31" i="19"/>
  <c r="H29" i="19"/>
  <c r="D14" i="14"/>
  <c r="E39" i="19" l="1"/>
  <c r="E40" i="19"/>
  <c r="H40" i="19" s="1"/>
  <c r="H37" i="19"/>
  <c r="H50" i="19"/>
  <c r="E41" i="19"/>
  <c r="H41" i="19" s="1"/>
  <c r="H31" i="19"/>
  <c r="E22" i="19"/>
  <c r="H22" i="19" s="1"/>
  <c r="H13" i="19"/>
  <c r="E4" i="19"/>
  <c r="H4" i="19" s="1"/>
  <c r="D16" i="14"/>
  <c r="G16" i="14" s="1"/>
  <c r="G14" i="14"/>
  <c r="C20" i="14"/>
  <c r="E32" i="19" l="1"/>
  <c r="H39" i="19"/>
  <c r="F20" i="14"/>
  <c r="D20" i="14"/>
  <c r="C21" i="14"/>
  <c r="E3" i="19" l="1"/>
  <c r="H32" i="19"/>
  <c r="F21" i="14"/>
  <c r="D21" i="14"/>
  <c r="C22" i="14"/>
  <c r="G65" i="7" l="1"/>
  <c r="E65" i="7"/>
  <c r="H3" i="19"/>
  <c r="F22" i="14"/>
  <c r="D22" i="14"/>
  <c r="C23" i="14"/>
  <c r="H65" i="7" l="1"/>
  <c r="F23" i="14"/>
  <c r="D23" i="14"/>
  <c r="C24" i="14"/>
  <c r="F24" i="14" l="1"/>
  <c r="D24" i="14"/>
  <c r="C25" i="14"/>
  <c r="F25" i="14" l="1"/>
  <c r="D25" i="14"/>
  <c r="C26" i="14"/>
  <c r="F26" i="14" l="1"/>
  <c r="D26" i="14"/>
  <c r="C27" i="14"/>
  <c r="F27" i="14" l="1"/>
  <c r="D27" i="14"/>
  <c r="C28" i="14"/>
  <c r="F28" i="14" l="1"/>
  <c r="D28" i="14"/>
  <c r="C29" i="14"/>
  <c r="F29" i="14" l="1"/>
  <c r="D29" i="14"/>
  <c r="C30" i="14"/>
  <c r="F30" i="14" l="1"/>
  <c r="D30" i="14"/>
  <c r="C31" i="14"/>
  <c r="F31" i="14" l="1"/>
  <c r="D31" i="14"/>
  <c r="C32" i="14"/>
  <c r="F32" i="14" l="1"/>
  <c r="D32" i="14"/>
  <c r="C33" i="14"/>
  <c r="F33" i="14" l="1"/>
  <c r="D33" i="14"/>
  <c r="C34" i="14"/>
  <c r="F34" i="14" l="1"/>
  <c r="D34" i="14"/>
  <c r="C35" i="14"/>
  <c r="F35" i="14" l="1"/>
  <c r="D35" i="14"/>
  <c r="C36" i="14"/>
  <c r="F36" i="14" l="1"/>
  <c r="D36" i="14"/>
  <c r="C37" i="14"/>
  <c r="F37" i="14" l="1"/>
  <c r="D37" i="14"/>
  <c r="C38" i="14"/>
  <c r="F38" i="14" l="1"/>
  <c r="D38" i="14"/>
  <c r="C39" i="14"/>
  <c r="F39" i="14" l="1"/>
  <c r="D39" i="14"/>
  <c r="C40" i="14"/>
  <c r="F40" i="14" l="1"/>
  <c r="D40" i="14"/>
  <c r="C41" i="14"/>
  <c r="F41" i="14" l="1"/>
  <c r="D41" i="14"/>
  <c r="C42" i="14"/>
  <c r="F42" i="14" l="1"/>
  <c r="D42" i="14"/>
  <c r="C43" i="14"/>
  <c r="F43" i="14" l="1"/>
  <c r="F12" i="14" s="1"/>
  <c r="F3" i="14" s="1"/>
  <c r="D43" i="14"/>
  <c r="D12" i="14" s="1"/>
  <c r="D3" i="14" l="1"/>
  <c r="G3" i="14" s="1"/>
  <c r="G12" i="14"/>
  <c r="E66" i="7" l="1"/>
  <c r="E67" i="7" s="1"/>
  <c r="G66" i="7"/>
  <c r="H66" i="7" l="1"/>
  <c r="G67" i="7"/>
  <c r="G69" i="7" s="1"/>
  <c r="G65" i="2" s="1"/>
  <c r="E69" i="7"/>
  <c r="E65" i="2" s="1"/>
  <c r="C2" i="18"/>
  <c r="E23" i="2" l="1"/>
  <c r="E66" i="2"/>
  <c r="G23" i="2"/>
  <c r="H23" i="2" s="1"/>
  <c r="H65" i="2"/>
  <c r="G66" i="2"/>
  <c r="H67" i="7"/>
  <c r="H69" i="7"/>
  <c r="H66" i="2" l="1"/>
  <c r="E39" i="7"/>
  <c r="H39" i="7" l="1"/>
  <c r="E37" i="7"/>
  <c r="E40" i="7"/>
  <c r="H36" i="7" l="1"/>
  <c r="H37" i="7"/>
  <c r="H40" i="7"/>
  <c r="E46" i="7"/>
  <c r="E56" i="7" l="1"/>
  <c r="H46" i="7"/>
  <c r="E57" i="7" l="1"/>
  <c r="H56" i="7"/>
  <c r="E59" i="7" l="1"/>
  <c r="E47" i="2" s="1"/>
  <c r="D46" i="2" s="1"/>
  <c r="H57" i="7"/>
  <c r="D48" i="2" l="1"/>
  <c r="H47" i="2"/>
  <c r="H59" i="7"/>
  <c r="D36" i="2" l="1"/>
</calcChain>
</file>

<file path=xl/sharedStrings.xml><?xml version="1.0" encoding="utf-8"?>
<sst xmlns="http://schemas.openxmlformats.org/spreadsheetml/2006/main" count="713" uniqueCount="443">
  <si>
    <t>Variables Principales de Entrada</t>
  </si>
  <si>
    <t>Indicadores de Control</t>
  </si>
  <si>
    <t xml:space="preserve">Condiciones de la Parrilla </t>
  </si>
  <si>
    <t>Velocidad  en Chorros</t>
  </si>
  <si>
    <t>V</t>
  </si>
  <si>
    <t>m/s</t>
  </si>
  <si>
    <t>Cabeza de Velocidad</t>
  </si>
  <si>
    <t>hv</t>
  </si>
  <si>
    <t xml:space="preserve">m </t>
  </si>
  <si>
    <t>Chorros por Ramal</t>
  </si>
  <si>
    <t>u</t>
  </si>
  <si>
    <t>No de Ramales</t>
  </si>
  <si>
    <t>No de Chorros</t>
  </si>
  <si>
    <t>Diámetro de Orificio</t>
  </si>
  <si>
    <t>1/8"</t>
  </si>
  <si>
    <t>mm</t>
  </si>
  <si>
    <t>Area de Flujo por Perforación</t>
  </si>
  <si>
    <t>mm2</t>
  </si>
  <si>
    <t>Coeficiente de Descarga</t>
  </si>
  <si>
    <t>Cd</t>
  </si>
  <si>
    <t>Caudal por Chorro</t>
  </si>
  <si>
    <t>Lps</t>
  </si>
  <si>
    <t>Caudal por Parrilla</t>
  </si>
  <si>
    <t>Q</t>
  </si>
  <si>
    <t>pg</t>
  </si>
  <si>
    <t xml:space="preserve">Cabeza de Velocidad </t>
  </si>
  <si>
    <t>m</t>
  </si>
  <si>
    <t>Potencia Hidráulica por Parrilla</t>
  </si>
  <si>
    <t>Ph</t>
  </si>
  <si>
    <t>Kw</t>
  </si>
  <si>
    <t>Transferencia de Oxígeno por Parrilla</t>
  </si>
  <si>
    <t>Altitud</t>
  </si>
  <si>
    <t>msnm</t>
  </si>
  <si>
    <t>Temperatura</t>
  </si>
  <si>
    <t>T°C</t>
  </si>
  <si>
    <t>oC</t>
  </si>
  <si>
    <t>Presion a Nivel del Mar</t>
  </si>
  <si>
    <t>P</t>
  </si>
  <si>
    <t>kPa</t>
  </si>
  <si>
    <t>Factor de Presión</t>
  </si>
  <si>
    <t>Presión en el Sitio</t>
  </si>
  <si>
    <t>mg/L</t>
  </si>
  <si>
    <t>Cst</t>
  </si>
  <si>
    <t>Concentración de Saturación de O2  para 20 °C a nivel del mar</t>
  </si>
  <si>
    <t>Potencia Hidráulica por Chorro</t>
  </si>
  <si>
    <t>Longitud del Chorro</t>
  </si>
  <si>
    <t>Eficiencia Energética del Chorro en Condiciones Estándar</t>
  </si>
  <si>
    <t>SOTE</t>
  </si>
  <si>
    <t>Kg O2/h</t>
  </si>
  <si>
    <t>Cl</t>
  </si>
  <si>
    <t xml:space="preserve">Factor de Correcciòn por Salinidad y Tensión Superficial </t>
  </si>
  <si>
    <t>β</t>
  </si>
  <si>
    <t>Factor de Corrección de Transferencia de O2 para Aguas Residuales</t>
  </si>
  <si>
    <t xml:space="preserve"> α</t>
  </si>
  <si>
    <t xml:space="preserve">Factor Tranferencia de O2 en Condiciones Reales </t>
  </si>
  <si>
    <t>N</t>
  </si>
  <si>
    <t>AOTR</t>
  </si>
  <si>
    <t>KgO2/hora</t>
  </si>
  <si>
    <t>kg/m3</t>
  </si>
  <si>
    <t>Borde Libre</t>
  </si>
  <si>
    <t>m3</t>
  </si>
  <si>
    <t>m3/h</t>
  </si>
  <si>
    <t>Caudal</t>
  </si>
  <si>
    <t xml:space="preserve">Longitud  </t>
  </si>
  <si>
    <t>Perdidas de Cabeza en Tubería</t>
  </si>
  <si>
    <t>Tee en sentido recto</t>
  </si>
  <si>
    <t>Tee con salida lateral</t>
  </si>
  <si>
    <t>Caudal de Diseño</t>
  </si>
  <si>
    <t>GPM</t>
  </si>
  <si>
    <t>Total Cabeza de Bombeo</t>
  </si>
  <si>
    <t>Marca</t>
  </si>
  <si>
    <t>Modelo</t>
  </si>
  <si>
    <t>m2</t>
  </si>
  <si>
    <t>°C</t>
  </si>
  <si>
    <t>horas</t>
  </si>
  <si>
    <t>Area de Biopelícula por m2</t>
  </si>
  <si>
    <t>m2/m3</t>
  </si>
  <si>
    <t>M.S. Thesis, Louisiana State University, 1997</t>
  </si>
  <si>
    <t>kg NH4/día</t>
  </si>
  <si>
    <t>Fuente:</t>
  </si>
  <si>
    <t>William J. Golz</t>
  </si>
  <si>
    <t>"A Theoretical Model of Nitrification in Floating-Bead Filters"</t>
  </si>
  <si>
    <t>Figura No 6 - Página 7</t>
  </si>
  <si>
    <t>Relationship of COD Loading to Removal Rate</t>
  </si>
  <si>
    <t>(after Bovendeur et al. 1990).</t>
  </si>
  <si>
    <t>Figura No 7 - Página 7</t>
  </si>
  <si>
    <t>Effect of COD Removal Rate on Zero Order Nitrification</t>
  </si>
  <si>
    <t>Cabeza de Velocidad en Chorros</t>
  </si>
  <si>
    <t>Curva Característica de la Bomba</t>
  </si>
  <si>
    <t>Potencia Neta de la Parrilla</t>
  </si>
  <si>
    <t>Pw</t>
  </si>
  <si>
    <t>1/s</t>
  </si>
  <si>
    <t>Alternativas de Bombas</t>
  </si>
  <si>
    <t>Ø Rotor</t>
  </si>
  <si>
    <t>Vel. Motor RPM</t>
  </si>
  <si>
    <t>2 HP</t>
  </si>
  <si>
    <t>Eficiencia</t>
  </si>
  <si>
    <t>4"</t>
  </si>
  <si>
    <t>Conexiones</t>
  </si>
  <si>
    <t>4" x 3"</t>
  </si>
  <si>
    <t>Accesorios</t>
  </si>
  <si>
    <t>Flygt</t>
  </si>
  <si>
    <t>Barnes</t>
  </si>
  <si>
    <t>N 3085 MT3- 462</t>
  </si>
  <si>
    <t>N 3085 MT3- 462 adaptative</t>
  </si>
  <si>
    <t>3SE-03</t>
  </si>
  <si>
    <t>6,50"</t>
  </si>
  <si>
    <t xml:space="preserve">Potencia  </t>
  </si>
  <si>
    <t>2,6 HP</t>
  </si>
  <si>
    <t>2,2 HP</t>
  </si>
  <si>
    <t>motor 3 HP</t>
  </si>
  <si>
    <t>3"</t>
  </si>
  <si>
    <t>Observaciones</t>
  </si>
  <si>
    <t>No tiene conexión en entrada</t>
  </si>
  <si>
    <t>Cabeza menor</t>
  </si>
  <si>
    <t>Eficiencia de Bombeo Neta</t>
  </si>
  <si>
    <t>Hc</t>
  </si>
  <si>
    <t>Clasificación de la Información</t>
  </si>
  <si>
    <t>Sistema de Bombeo de Aireación y Recirculación</t>
  </si>
  <si>
    <t>No aplica</t>
  </si>
  <si>
    <t>4X4X7A  100-160A</t>
  </si>
  <si>
    <t>Barmesa BVL vertical</t>
  </si>
  <si>
    <t>Kg</t>
  </si>
  <si>
    <t>SOTRc</t>
  </si>
  <si>
    <t>n</t>
  </si>
  <si>
    <r>
      <t>KgO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/kW-h</t>
    </r>
  </si>
  <si>
    <t xml:space="preserve">Hidromac Malmedi Linea AZ </t>
  </si>
  <si>
    <t>Parámetros y Datos de Diseño Calculados</t>
  </si>
  <si>
    <t>kg/m.s</t>
  </si>
  <si>
    <r>
      <t>m</t>
    </r>
    <r>
      <rPr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/sg</t>
    </r>
  </si>
  <si>
    <t>Salinidad del Agua</t>
  </si>
  <si>
    <t>Salinidad en partes por mil (gr/L)</t>
  </si>
  <si>
    <t>gr/L</t>
  </si>
  <si>
    <t>https://www.thermexcel.com/english/tables/eau_atm.htm</t>
  </si>
  <si>
    <t xml:space="preserve">Therm Exel. "Physical characteristics of water (at the atmospheric pressure)". 2.003.   </t>
  </si>
  <si>
    <t>Metcalf &amp; Eddy. “Wastewater Engineering. Treatment and Reuse”. Mc Graw Hill.            4ª Edición, 2.003.</t>
  </si>
  <si>
    <t>Diametro</t>
  </si>
  <si>
    <t xml:space="preserve">Caudal </t>
  </si>
  <si>
    <t xml:space="preserve">Velocidad Media </t>
  </si>
  <si>
    <t xml:space="preserve">Material </t>
  </si>
  <si>
    <t>PVC</t>
  </si>
  <si>
    <t>Km</t>
  </si>
  <si>
    <t>Ramal</t>
  </si>
  <si>
    <t>Pérdidas Totales:</t>
  </si>
  <si>
    <t xml:space="preserve">PARRILLA DE AIREACIÓN </t>
  </si>
  <si>
    <t>Tee  con salida lateral</t>
  </si>
  <si>
    <t>Tuberia  de  Distribución</t>
  </si>
  <si>
    <t>Manguera que conecta a Biorreactor</t>
  </si>
  <si>
    <t>PEAD</t>
  </si>
  <si>
    <t>Multiple de Distribución de Bomba</t>
  </si>
  <si>
    <t>Cantidad</t>
  </si>
  <si>
    <t>Tuberia  de Succión de la Bomba</t>
  </si>
  <si>
    <t>Manguera Perforada de Succión</t>
  </si>
  <si>
    <t>Codo  de radio corto</t>
  </si>
  <si>
    <t>Pérdidas de Cabeza en Tubería</t>
  </si>
  <si>
    <t>Valvula de Cheque tipo Cortina</t>
  </si>
  <si>
    <t>Tramo</t>
  </si>
  <si>
    <t>Longitud del Tramo</t>
  </si>
  <si>
    <t>Número de Tramos</t>
  </si>
  <si>
    <t>Longitud  Total</t>
  </si>
  <si>
    <t>Longitud  Ramal</t>
  </si>
  <si>
    <t>Pérdidas</t>
  </si>
  <si>
    <t>5,5"</t>
  </si>
  <si>
    <t>GSP1-3B</t>
  </si>
  <si>
    <t>2HP</t>
  </si>
  <si>
    <t>Area de las Perforaciones</t>
  </si>
  <si>
    <r>
      <t>Coeficiente C</t>
    </r>
    <r>
      <rPr>
        <vertAlign val="subscript"/>
        <sz val="11"/>
        <color rgb="FF000000"/>
        <rFont val="Arial"/>
        <family val="2"/>
      </rPr>
      <t>HW</t>
    </r>
    <r>
      <rPr>
        <sz val="11"/>
        <color rgb="FF000000"/>
        <rFont val="Arial"/>
        <family val="2"/>
        <charset val="1"/>
      </rPr>
      <t>:</t>
    </r>
  </si>
  <si>
    <t>Caudal por Ramal</t>
  </si>
  <si>
    <t>Caudal de Entrada por Tramo</t>
  </si>
  <si>
    <t>Velocidad en las Perforaciones</t>
  </si>
  <si>
    <t>Factor de Mayoración por Efecto de Bioportadores</t>
  </si>
  <si>
    <t xml:space="preserve">Penetración de las Burbujas Calculada </t>
  </si>
  <si>
    <t>Pérdidas:</t>
  </si>
  <si>
    <t>Perdidas de Cabeza en Perforaciones</t>
  </si>
  <si>
    <t>Coeficiente de Perdidas Km</t>
  </si>
  <si>
    <r>
      <t>cm</t>
    </r>
    <r>
      <rPr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  <charset val="1"/>
      </rPr>
      <t>/m</t>
    </r>
  </si>
  <si>
    <t>Perdidas de Cabeza en la Manguera</t>
  </si>
  <si>
    <t xml:space="preserve">Transferencia de O2  en Condiciones Estandar por Chorro en Tanque con Bioportadores </t>
  </si>
  <si>
    <t>Eficiencia Energética del Chorro en Condiciones Estándar  en Tanque con Bioportadores</t>
  </si>
  <si>
    <t>FMB</t>
  </si>
  <si>
    <t>184 a 342</t>
  </si>
  <si>
    <t>Parámetros de Diseño Asumidos</t>
  </si>
  <si>
    <t>Viscocidad Dinámica del Agua a T°C</t>
  </si>
  <si>
    <t xml:space="preserve">μ </t>
  </si>
  <si>
    <t>Temperatura T</t>
  </si>
  <si>
    <r>
      <t xml:space="preserve">Densidad </t>
    </r>
    <r>
      <rPr>
        <b/>
        <sz val="11"/>
        <color rgb="FF000000"/>
        <rFont val="GreekC"/>
      </rPr>
      <t>r</t>
    </r>
  </si>
  <si>
    <r>
      <t xml:space="preserve">Viscosidad Dinámica </t>
    </r>
    <r>
      <rPr>
        <b/>
        <sz val="11"/>
        <color rgb="FF000000"/>
        <rFont val="GreekC"/>
      </rPr>
      <t>m</t>
    </r>
  </si>
  <si>
    <r>
      <t xml:space="preserve">Viscosidad Cinemática </t>
    </r>
    <r>
      <rPr>
        <b/>
        <sz val="11"/>
        <color rgb="FF000000"/>
        <rFont val="GreekC"/>
      </rPr>
      <t>J</t>
    </r>
  </si>
  <si>
    <t>Presión de Vapor Hv</t>
  </si>
  <si>
    <t>Concentración de Saturación de O2  para T y salinidad a nivel del mar  C(s,T)</t>
  </si>
  <si>
    <t>Fuente</t>
  </si>
  <si>
    <t>Calculo Alterno</t>
  </si>
  <si>
    <t>Perdidas  en Tuberías</t>
  </si>
  <si>
    <t>Perdidas en Manguera de Succión</t>
  </si>
  <si>
    <t>Diferencia</t>
  </si>
  <si>
    <t>Concentración de Oxígeno Disuelto</t>
  </si>
  <si>
    <t>SARR máximo</t>
  </si>
  <si>
    <t>SALR orgánica máxima</t>
  </si>
  <si>
    <r>
      <t>grNH</t>
    </r>
    <r>
      <rPr>
        <vertAlign val="subscript"/>
        <sz val="11"/>
        <color theme="1"/>
        <rFont val="Arial"/>
        <family val="2"/>
      </rPr>
      <t>4</t>
    </r>
    <r>
      <rPr>
        <sz val="11"/>
        <color theme="1"/>
        <rFont val="Arial"/>
        <family val="2"/>
      </rPr>
      <t>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-día</t>
    </r>
  </si>
  <si>
    <r>
      <t>grDBO</t>
    </r>
    <r>
      <rPr>
        <vertAlign val="subscript"/>
        <sz val="11"/>
        <color theme="1"/>
        <rFont val="Arial"/>
        <family val="2"/>
      </rPr>
      <t>5</t>
    </r>
    <r>
      <rPr>
        <sz val="11"/>
        <color theme="1"/>
        <rFont val="Arial"/>
        <family val="2"/>
      </rPr>
      <t>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-día</t>
    </r>
  </si>
  <si>
    <t>Tabla C-1. Valores Máximos de la Tasa de Remoción de Nitrógeno y de Carga Orgánica Superficial en Función del Oxígeno Disuelto</t>
  </si>
  <si>
    <t>Nitrificación Parcial</t>
  </si>
  <si>
    <t>Item</t>
  </si>
  <si>
    <t>Peso Unitario</t>
  </si>
  <si>
    <t>Peso Total</t>
  </si>
  <si>
    <t xml:space="preserve">Angulos de Hierro de 2"x 1/4"  </t>
  </si>
  <si>
    <t>Kg/m</t>
  </si>
  <si>
    <t>kg</t>
  </si>
  <si>
    <t xml:space="preserve">Platinas de Hierro de 2"x 1/4" </t>
  </si>
  <si>
    <t>Kg/m2</t>
  </si>
  <si>
    <t>Peso sin Conexiones Hidráulicas</t>
  </si>
  <si>
    <t>Tubería Llena 2"</t>
  </si>
  <si>
    <t>Codos Llenos de 1 1 2"</t>
  </si>
  <si>
    <t>Tubería Llena 3/4"</t>
  </si>
  <si>
    <t xml:space="preserve">Desplazamiento Máximo </t>
  </si>
  <si>
    <t>Area en Planta de Flotadores</t>
  </si>
  <si>
    <t>FLOTABILIDAD BIORREACTOR FLOTANTE</t>
  </si>
  <si>
    <t>Manguera 2 1/2" Llena</t>
  </si>
  <si>
    <t>3 HP</t>
  </si>
  <si>
    <t>162 mm</t>
  </si>
  <si>
    <t>2,5HP</t>
  </si>
  <si>
    <t>4" x 4"</t>
  </si>
  <si>
    <t>6x6x10</t>
  </si>
  <si>
    <t>9,12"</t>
  </si>
  <si>
    <t>6" vertical</t>
  </si>
  <si>
    <t>IHM Eurolínea</t>
  </si>
  <si>
    <t xml:space="preserve"> 10X16</t>
  </si>
  <si>
    <t xml:space="preserve">Hidromac Malmedi Linea AZ   4X4X7A  100-160A  </t>
  </si>
  <si>
    <t>IHM Eurolínea   10X16</t>
  </si>
  <si>
    <t>Barnes GSP1-3B</t>
  </si>
  <si>
    <t>BARMESA VBL VERTICAL</t>
  </si>
  <si>
    <t>Lamina de Acero Inoxidable cal 22</t>
  </si>
  <si>
    <t>Hs</t>
  </si>
  <si>
    <t>Profundidad de Sumergencia Calculada</t>
  </si>
  <si>
    <t>Espesor del Panel de Espuma de Poliuretano =</t>
  </si>
  <si>
    <t>Tasa de Transferencia de Oxígeno por Parrilla</t>
  </si>
  <si>
    <t>Pt</t>
  </si>
  <si>
    <t>Concentración de Saturación de O2  para Temperatura  y Altitud</t>
  </si>
  <si>
    <t>Concentración de Saturación de O2 en el Terreno</t>
  </si>
  <si>
    <t>Profundidad de la Aireación</t>
  </si>
  <si>
    <t>Cs20</t>
  </si>
  <si>
    <t xml:space="preserve">Concentración de Saturación de O2  para Temperatura </t>
  </si>
  <si>
    <r>
      <t>Cs</t>
    </r>
    <r>
      <rPr>
        <vertAlign val="subscript"/>
        <sz val="11"/>
        <rFont val="Arial"/>
        <family val="2"/>
      </rPr>
      <t xml:space="preserve">T </t>
    </r>
  </si>
  <si>
    <r>
      <t>Cs</t>
    </r>
    <r>
      <rPr>
        <vertAlign val="subscript"/>
        <sz val="11"/>
        <rFont val="Arial"/>
        <family val="2"/>
      </rPr>
      <t xml:space="preserve">TA </t>
    </r>
  </si>
  <si>
    <t>Perdidas Totales</t>
  </si>
  <si>
    <t xml:space="preserve">cm  </t>
  </si>
  <si>
    <t xml:space="preserve">Parámetros  tomados de la Literatura Científica o Técnica </t>
  </si>
  <si>
    <t>Resultados Finales e Indicadores de Desempeño</t>
  </si>
  <si>
    <t>Otros Cálculos</t>
  </si>
  <si>
    <t>Paneles de Espuma de Poliuretano e=3"</t>
  </si>
  <si>
    <t xml:space="preserve">Potencia Eléctrica Hidráulica de Bombeo  Requerida </t>
  </si>
  <si>
    <t>Altura del Biorreactor Flotante</t>
  </si>
  <si>
    <t>cm (3")</t>
  </si>
  <si>
    <t>Longitud del Chorro Emergido</t>
  </si>
  <si>
    <t xml:space="preserve">Altura de la Capa de Bioportadores                                    </t>
  </si>
  <si>
    <t>Variable de Ajuste</t>
  </si>
  <si>
    <t>Kody García, (Ref.  C-19 )</t>
  </si>
  <si>
    <t xml:space="preserve">Rango del Gradiente de Velocidad   </t>
  </si>
  <si>
    <t>G</t>
  </si>
  <si>
    <t>Cabeza de Diseño:</t>
  </si>
  <si>
    <t>Caudal de Diseño:</t>
  </si>
  <si>
    <t>Potencia de Diseño</t>
  </si>
  <si>
    <t>Ecuación F-11</t>
  </si>
  <si>
    <t>Tabla B. 6,30, RAS</t>
  </si>
  <si>
    <t>Tabla F-7.  Val Matic Valve &amp; Mfg</t>
  </si>
  <si>
    <t>Hoja "Agua-T(°C)"</t>
  </si>
  <si>
    <t>Hoja "Agua-T(°C)</t>
  </si>
  <si>
    <t>Hoja "Flotación en Biorreactor"</t>
  </si>
  <si>
    <t>Hoja "Manguera de Succción"</t>
  </si>
  <si>
    <t>Hoja "Tuberias"</t>
  </si>
  <si>
    <t>PARRILLA DE AIREACIÓN</t>
  </si>
  <si>
    <t>Ecuación A-3</t>
  </si>
  <si>
    <t>Ecuación A-2</t>
  </si>
  <si>
    <t>Ecuación A-10</t>
  </si>
  <si>
    <t>Hb</t>
  </si>
  <si>
    <t>Planos de Diseño</t>
  </si>
  <si>
    <t>Figura A-9, Jie Yin Jing  (Ref. A-10)</t>
  </si>
  <si>
    <t>Ecuación A-4</t>
  </si>
  <si>
    <t>Ecuación A-8  de Andrzej Bin  (Ref. A-9)</t>
  </si>
  <si>
    <t>Ecuación A -11</t>
  </si>
  <si>
    <t>Metcalf &amp; Eddy ( Ref. A-1)</t>
  </si>
  <si>
    <t>Kg/día</t>
  </si>
  <si>
    <t>Consumo Diario de Energía</t>
  </si>
  <si>
    <t>gr/pez</t>
  </si>
  <si>
    <t xml:space="preserve">Concentración de OD  en la Laguna </t>
  </si>
  <si>
    <t>Remoción de Nutrientes por las Algas</t>
  </si>
  <si>
    <t>Abbas Mehrabadi et al (Ref. C-69)</t>
  </si>
  <si>
    <t>Ton/ha-año</t>
  </si>
  <si>
    <t>Tabla C-8. Radhakrishnan S.et al (Ref. C-70)</t>
  </si>
  <si>
    <t>Contenido de Proteina</t>
  </si>
  <si>
    <t>Clorela</t>
  </si>
  <si>
    <t>Yoram Avnimelech (Ref. B-11)</t>
  </si>
  <si>
    <t>Proporción de Nitrógeno en Proteina</t>
  </si>
  <si>
    <t>No de Parrillas por Conjunto</t>
  </si>
  <si>
    <t>Tasa de Transferencia de Oxígeno por Conjunto</t>
  </si>
  <si>
    <t>Estequiometría Ecuación B-1</t>
  </si>
  <si>
    <t>Kg O2/Kg NH4</t>
  </si>
  <si>
    <t>Tasa de Producción de Biomasa por Gramo de NH4</t>
  </si>
  <si>
    <t>Kg Biomasa/Kg NH4</t>
  </si>
  <si>
    <t>Consumo de Oxígeno por Fauna Acuática</t>
  </si>
  <si>
    <t>40 a 70 ton/ha-año</t>
  </si>
  <si>
    <t>Alimento Diario como Proporción del Peso de Peces</t>
  </si>
  <si>
    <t>Ecuación B-6</t>
  </si>
  <si>
    <t xml:space="preserve">Tabla B-14 </t>
  </si>
  <si>
    <t>gr/m2-día</t>
  </si>
  <si>
    <t xml:space="preserve"> Oxígeno para Nitrificación Heterotrófa de NH4</t>
  </si>
  <si>
    <t xml:space="preserve">Tasa de Producción de Peso Seco de Algas </t>
  </si>
  <si>
    <t>Calcular con Función Objetivo</t>
  </si>
  <si>
    <t>Consumo de Oxígeno para Nitrificación Heterótrofa</t>
  </si>
  <si>
    <t>Remoción de NH4 por Nitrificación Heterótrofa por Conjunto</t>
  </si>
  <si>
    <t>Kg NH4/hora</t>
  </si>
  <si>
    <t>Tabla B - 16</t>
  </si>
  <si>
    <t>Producción de Peces</t>
  </si>
  <si>
    <t>Lapso de Operación Contínua de Biorreactores</t>
  </si>
  <si>
    <t>Lapso de Operación Intermitente de Biorreactores</t>
  </si>
  <si>
    <t>Tiempo Total de Operación Diaria</t>
  </si>
  <si>
    <t>Ancho Superficie del Biorreactor</t>
  </si>
  <si>
    <t>Longitud del Biorreactor</t>
  </si>
  <si>
    <t>Kg Biomasa/hora</t>
  </si>
  <si>
    <t>Producción Total Diaria de Biomasa Alimenticia</t>
  </si>
  <si>
    <t>Cantidad de Biomasa Producida por Nitrificación en Conjunto</t>
  </si>
  <si>
    <t>Masa de Peces por Conjunto</t>
  </si>
  <si>
    <t>Kg NH4/día</t>
  </si>
  <si>
    <t>LAGUNA EUTROFIZADA CON BIORREACTORES FLOTANTES</t>
  </si>
  <si>
    <t>Remoción Total de NH4 por Conjunto</t>
  </si>
  <si>
    <t>Ton/año</t>
  </si>
  <si>
    <t>Producción de Biomasa Alimenticia en Area del Conjunto</t>
  </si>
  <si>
    <t>Profundidad de Sumergencia del Biorreactor</t>
  </si>
  <si>
    <t>Volumen de Agua del Biorreactor</t>
  </si>
  <si>
    <t xml:space="preserve">Ɐ </t>
  </si>
  <si>
    <t>Carga diaria de NH4 Removida en la Laguna por Algas por Conjunto</t>
  </si>
  <si>
    <t>Cantidad de Algas Producidas en Area de Conjunto</t>
  </si>
  <si>
    <t>Consumo de Oxígeno por Peces</t>
  </si>
  <si>
    <t>Aplicar Función Objetivo con valor de AOTR</t>
  </si>
  <si>
    <t>Peso de Peces Asumido</t>
  </si>
  <si>
    <t xml:space="preserve">Ecuación C-6 </t>
  </si>
  <si>
    <t>kW-h/día</t>
  </si>
  <si>
    <t>Eficiencia Energética en Remoción de Nitrógeno</t>
  </si>
  <si>
    <t>gr NH4/kW-h</t>
  </si>
  <si>
    <t>Tasa de Conversión Alimenticia para Zooplacton</t>
  </si>
  <si>
    <t>Consumo de Oxígeno por Zooplancton</t>
  </si>
  <si>
    <t>Tasa Total de Conversión Alimenticia para Peces</t>
  </si>
  <si>
    <t xml:space="preserve">Tasa de Transferencia de Oxígeno por Conjunto              </t>
  </si>
  <si>
    <t>Gradiente de Velocidad en Biorreactor Flotante Calculado  G</t>
  </si>
  <si>
    <t xml:space="preserve"> Alternativas de Bombas</t>
  </si>
  <si>
    <t xml:space="preserve">Bell&amp;Gossett </t>
  </si>
  <si>
    <t>Serie e-1531 3BD</t>
  </si>
  <si>
    <t>8.5"</t>
  </si>
  <si>
    <t>3" x 3"</t>
  </si>
  <si>
    <t>Bell&amp;Gossett   Serie e-1531 3BD</t>
  </si>
  <si>
    <t>Estequiometría Ecuación C-1</t>
  </si>
  <si>
    <t xml:space="preserve">Ecuación A-16  de Van de Donk (Ref. A-7) </t>
  </si>
  <si>
    <t xml:space="preserve">Mazzei Aeration (Ref. A-16) </t>
  </si>
  <si>
    <t>Fuentes: Harlan H. Bengtson(Ref. C-24) y Bjorn Rusten et al (Ref. C-23)</t>
  </si>
  <si>
    <t>Ecuación A-17</t>
  </si>
  <si>
    <t>Ha</t>
  </si>
  <si>
    <t xml:space="preserve">Información de Entrada </t>
  </si>
  <si>
    <t>Información de Salida</t>
  </si>
  <si>
    <t>Area de Laguna cubierta por Conjunto</t>
  </si>
  <si>
    <t>INTRUCCIONES SOBRE EL CÁLCULO ALTERNO</t>
  </si>
  <si>
    <t xml:space="preserve">Para revertir esta operación, se coloca en la casilla  del parámetro modificado el valor correspondiente </t>
  </si>
  <si>
    <t xml:space="preserve">Para hacer la gráfica de un parámetro contra divesas variables, se ejecutan las siguientes instrucciones: </t>
  </si>
  <si>
    <t xml:space="preserve">- Los valores del parámetro van en la abscisa o eje horizontal, y los de las variables en las ordenadas. </t>
  </si>
  <si>
    <t>- Se rellena la fila a la derecha del parámetro con valores que se incrementan una cantidad fija.</t>
  </si>
  <si>
    <t xml:space="preserve">- Al finalizar, se copian los valores de la abcisa y las ordenadas, y se pegan traspuestos en otra hoja. </t>
  </si>
  <si>
    <t>Esta operación permite analizar el cambio de las variables calculadas al cambiar algunos parámetros.</t>
  </si>
  <si>
    <t>El cálculo alterno se realiza modificando el valor de uno o varios  parámetros en esta columna.</t>
  </si>
  <si>
    <t>Los parámetros que se puden modificar corresponden a la Información de Entrada.</t>
  </si>
  <si>
    <t xml:space="preserve">El color de este parámetro se cambia a un color distintivo para diferenciarlo. </t>
  </si>
  <si>
    <t>En el cálculo alterno es necesario aplicar la Función Objetivo en los parámetros indicados.</t>
  </si>
  <si>
    <t xml:space="preserve">Se puede tener en la abscisa una variable (p.e. caudal) que sea directamente proporcional al parámetro </t>
  </si>
  <si>
    <t>que se cambia (p.e. velocidad de los chorros)</t>
  </si>
  <si>
    <t xml:space="preserve">Cuando el cambio en el parámetro afecta el caudal, podrían requerirse cambios en dimensiones de </t>
  </si>
  <si>
    <t>tuberías y estructuras.</t>
  </si>
  <si>
    <t>Para incorporar los cambios en el cálculo original, se copian en este los datos del Cálculo Alterno,</t>
  </si>
  <si>
    <t>y luego se quita el color distitivo en este último.</t>
  </si>
  <si>
    <t>- En el Cálculo Alterno se coloca sucesivamente cada valor del parámetro, y los valores de las variables</t>
  </si>
  <si>
    <t xml:space="preserve">  de interés se copian en la misma fila, y en la columna correspondiente al valor del parámetro.</t>
  </si>
  <si>
    <t>- Esta operación se repite para todos los valores del parámetro.</t>
  </si>
  <si>
    <t>- Se realiza la gráfica a partir de las columnas de la abcisa y de las ordenadas.</t>
  </si>
  <si>
    <t>PVC Corrugada, Coeficiente CHW =</t>
  </si>
  <si>
    <t>Hoja "Parrilla de Aireación"</t>
  </si>
  <si>
    <t>Li</t>
  </si>
  <si>
    <t>Notas</t>
  </si>
  <si>
    <t>CO</t>
  </si>
  <si>
    <t>a la columna E, y luego se quita el color distintivo.</t>
  </si>
  <si>
    <t>Es importante verificar el cumplimento de las condiciones indIcadas en la columna D</t>
  </si>
  <si>
    <t>Volumen de Bioportadores Tubulares por Conjunto</t>
  </si>
  <si>
    <t>Area de Biopelícula en Bioportadores Tubulares por Conjunto</t>
  </si>
  <si>
    <t>N.sg/m2</t>
  </si>
  <si>
    <t>Volumen de Bioportadores Tubulares por Biorreactor</t>
  </si>
  <si>
    <t>Relación C/N para Asimilación del Nitrógeno</t>
  </si>
  <si>
    <t>C/N</t>
  </si>
  <si>
    <t>Porcentaje de Carbohidratos de Fácil Degradación</t>
  </si>
  <si>
    <t xml:space="preserve">Andrew J. Ray et al (Ref. C-44).  Num. B-9.6 </t>
  </si>
  <si>
    <t>SUMINISTRO DE CARBONO</t>
  </si>
  <si>
    <t>Componente Hidrolizable (azúcares)</t>
  </si>
  <si>
    <t>Componente Rápidamente Fermentable (hojas)</t>
  </si>
  <si>
    <t>Aireación y Remoción de Nutrientes por la Nitrificación Heterótrofa</t>
  </si>
  <si>
    <t>Tabla C-5. R. M. Hoffman et al. (Ref. C-59)</t>
  </si>
  <si>
    <t>Cantidad Diaria de Forraje a Suministrar por Conjunto</t>
  </si>
  <si>
    <t>Cantidad Diaria de Forraje a Suministrar por Biorreactor</t>
  </si>
  <si>
    <t>Cálculos de la Capacidad de Remoción de Nitrógeno por Conjunto de Biorreactores Flotantes</t>
  </si>
  <si>
    <t>Carga de Nitrógeno Amoniacal sobre la Laguna</t>
  </si>
  <si>
    <t>No de Conjuntos de Biorreactores Flotantes</t>
  </si>
  <si>
    <t>Eficiencia en la Remoción de Nitrógeno Amonical</t>
  </si>
  <si>
    <t>Area Total de Laguna Requerida</t>
  </si>
  <si>
    <t>hectáreas</t>
  </si>
  <si>
    <t xml:space="preserve">Carga Total de Nitrógeno Amoniacal Removida </t>
  </si>
  <si>
    <t>Consumo Anual de Energía</t>
  </si>
  <si>
    <t>kW-h/año</t>
  </si>
  <si>
    <t>Cantidad Diaria Total de Forraje a Suministrar</t>
  </si>
  <si>
    <t>Area Mínima por Conjunto</t>
  </si>
  <si>
    <t>Figura C-24</t>
  </si>
  <si>
    <t>Carga Orgánica en la Laguna</t>
  </si>
  <si>
    <t>grHN4/m2-día</t>
  </si>
  <si>
    <t>Cálculo de Bioportadores Tubulares Porosos</t>
  </si>
  <si>
    <t>Producción de Peces por Conjunto</t>
  </si>
  <si>
    <t xml:space="preserve">Consumo de Carbohidratos </t>
  </si>
  <si>
    <t>horas/día</t>
  </si>
  <si>
    <t>Figura C-38. H. Jupsin et al (Ref. C-66).</t>
  </si>
  <si>
    <t>5 min cada 1/2 hora</t>
  </si>
  <si>
    <t>6 p.m. a 5 a.m.</t>
  </si>
  <si>
    <t xml:space="preserve">       Parámetros Principales</t>
  </si>
  <si>
    <t>Capitulo A-3 Figura A-10</t>
  </si>
  <si>
    <t>Proporción Mínima de Bioportadores en Zona Aireada</t>
  </si>
  <si>
    <t>% Biop</t>
  </si>
  <si>
    <t>Funcion Objetivo: Valor de %Biop</t>
  </si>
  <si>
    <t>Proporción de Bioportadores en Zona Aireada</t>
  </si>
  <si>
    <t>Calcullar con Función Objetivo</t>
  </si>
  <si>
    <t xml:space="preserve">Altura de la Capa de Bioportadores                                                     </t>
  </si>
  <si>
    <t>Ecuación A-14. Andrzej Bin.  (Ref. A-8)</t>
  </si>
  <si>
    <t>No de Froude del Chorro</t>
  </si>
  <si>
    <t>Frj</t>
  </si>
  <si>
    <t>Ecuación A-13. Andrzej Bin.  (Ref. A-8)</t>
  </si>
  <si>
    <t>Relación Caudal de Aire/Caudal de Agua</t>
  </si>
  <si>
    <t>Qa/Qw</t>
  </si>
  <si>
    <t>Caudal de Aire</t>
  </si>
  <si>
    <t>Intensidad de la Aireación</t>
  </si>
  <si>
    <t>m/hora</t>
  </si>
  <si>
    <t>Area en Planta de Biorreactor</t>
  </si>
  <si>
    <t xml:space="preserve">Fibra Detergente Neutra FDN </t>
  </si>
  <si>
    <t>Análisis de Producción y Consumo de Forraje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</si>
</sst>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3" formatCode="_-* #,##0.00_-;\-* #,##0.00_-;_-* &quot;-&quot;??_-;_-@_-"/>
    <numFmt numFmtId="164" formatCode="_ * #,##0.00_ ;_ * \-#,##0.00_ ;_ * \-??_ ;_ @_ "/>
    <numFmt numFmtId="165" formatCode="\$#,##0\ ;&quot;($&quot;#,##0\)"/>
    <numFmt numFmtId="166" formatCode="_ [$€-2]\ * #,##0.00_ ;_ [$€-2]\ * \-#,##0.00_ ;_ [$€-2]\ * \-??_ "/>
    <numFmt numFmtId="167" formatCode="&quot;K &quot;00\+000"/>
    <numFmt numFmtId="168" formatCode="_(\$* #,##0_);_(\$* \(#,##0\);_(\$* \-??_);_(@_)"/>
    <numFmt numFmtId="169" formatCode="_-* #,##0.00\ _€_-;\-* #,##0.00\ _€_-;_-* \-??\ _€_-;_-@_-"/>
    <numFmt numFmtId="170" formatCode="_(* #,##0.00_);_(* \(#,##0.00\);_(* \-??_);_(@_)"/>
    <numFmt numFmtId="171" formatCode="_ * #,##0.0000000000_ ;_ * \-#,##0.0000000000_ ;_ * \-??_ ;_ @_ "/>
    <numFmt numFmtId="172" formatCode="_-\$* #,##0.00_-;&quot;-$&quot;* #,##0.00_-;_-\$* \-??_-;_-@_-"/>
    <numFmt numFmtId="173" formatCode="&quot;$ &quot;#,##0_);&quot;($ &quot;#,##0\)"/>
    <numFmt numFmtId="174" formatCode="&quot;$ &quot;#,##0;&quot;$ -&quot;#,##0"/>
    <numFmt numFmtId="175" formatCode="_ &quot;$ &quot;* #,##0.00_ ;_ &quot;$ &quot;* \-#,##0.00_ ;_ &quot;$ &quot;* \-??_ ;_ @_ "/>
    <numFmt numFmtId="176" formatCode="[$$-240A]\ #,##0.00"/>
    <numFmt numFmtId="177" formatCode="_(&quot;$ &quot;* #,##0.00_);_(&quot;$ &quot;* \(#,##0.00\);_(&quot;$ &quot;* \-??_);_(@_)"/>
    <numFmt numFmtId="178" formatCode="_(\$* #,##0.00_);_(\$* \(#,##0.00\);_(\$* \-??_);_(@_)"/>
    <numFmt numFmtId="179" formatCode="_(\$* #,##0_);_(\$* \(#,##0\);_(\$* \-_);_(@_)"/>
    <numFmt numFmtId="180" formatCode="0.000"/>
    <numFmt numFmtId="181" formatCode="_-* #,##0_-;\-* #,##0_-;_-* \-_-;_-@_-"/>
    <numFmt numFmtId="182" formatCode="0.0000"/>
    <numFmt numFmtId="183" formatCode="_ * #,##0_ ;_ * \-#,##0_ ;_ * \-??_ ;_ @_ "/>
    <numFmt numFmtId="184" formatCode="0.0"/>
    <numFmt numFmtId="185" formatCode="_-&quot;$ &quot;* #,##0_-;&quot;-$ &quot;* #,##0_-;_-&quot;$ &quot;* \-_-;_-@_-"/>
    <numFmt numFmtId="186" formatCode="_(* #,##0.00_);_(* \(#,##0.00\);_(* &quot;-&quot;??_);_(@_)"/>
    <numFmt numFmtId="187" formatCode="0.000000"/>
    <numFmt numFmtId="188" formatCode="#,##0.000"/>
    <numFmt numFmtId="189" formatCode="0.0%"/>
    <numFmt numFmtId="190" formatCode="#,##0.0"/>
  </numFmts>
  <fonts count="53" x14ac:knownFonts="1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name val="Arial"/>
      <family val="2"/>
      <charset val="1"/>
    </font>
    <font>
      <sz val="11"/>
      <color rgb="FF800080"/>
      <name val="Calibri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8"/>
      <name val="Arial"/>
      <family val="2"/>
      <charset val="1"/>
    </font>
    <font>
      <i/>
      <sz val="11"/>
      <color rgb="FF808080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u/>
      <sz val="10"/>
      <color rgb="FF0000FF"/>
      <name val="Arial"/>
      <family val="2"/>
      <charset val="1"/>
    </font>
    <font>
      <sz val="11"/>
      <color rgb="FF333399"/>
      <name val="Calibri"/>
      <family val="2"/>
      <charset val="1"/>
    </font>
    <font>
      <sz val="11"/>
      <color rgb="FFFF9900"/>
      <name val="Calibri"/>
      <family val="2"/>
      <charset val="1"/>
    </font>
    <font>
      <b/>
      <sz val="11"/>
      <color rgb="FF333333"/>
      <name val="Calibri"/>
      <family val="2"/>
      <charset val="1"/>
    </font>
    <font>
      <b/>
      <sz val="18"/>
      <color rgb="FF003366"/>
      <name val="Cambria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sz val="11"/>
      <color rgb="FFFF000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2"/>
      <name val="Arial"/>
      <family val="2"/>
      <charset val="1"/>
    </font>
    <font>
      <u/>
      <sz val="11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vertAlign val="subscript"/>
      <sz val="11"/>
      <name val="Arial"/>
      <family val="2"/>
    </font>
    <font>
      <vertAlign val="sub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1"/>
      <color rgb="FF000000"/>
      <name val="GreekC"/>
    </font>
    <font>
      <b/>
      <sz val="12"/>
      <name val="Arial"/>
      <family val="2"/>
    </font>
    <font>
      <b/>
      <sz val="12"/>
      <color rgb="FF000000"/>
      <name val="Calibri"/>
      <family val="2"/>
      <charset val="1"/>
    </font>
    <font>
      <sz val="11"/>
      <name val="Calibri"/>
      <family val="2"/>
      <charset val="1"/>
    </font>
    <font>
      <vertAlign val="subscript"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10"/>
      <color rgb="FF000000"/>
      <name val="Calibri"/>
      <family val="2"/>
      <charset val="1"/>
    </font>
    <font>
      <sz val="16"/>
      <color rgb="FF000000"/>
      <name val="Arial"/>
      <family val="2"/>
    </font>
    <font>
      <b/>
      <sz val="14"/>
      <name val="Arial"/>
      <family val="2"/>
      <charset val="1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1"/>
      <color theme="1"/>
      <name val="Arial"/>
      <family val="2"/>
      <charset val="1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rgb="FFCCCCFF"/>
        <bgColor rgb="FFDAE3F3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99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D2F9FE"/>
      </patternFill>
    </fill>
    <fill>
      <patternFill patternType="solid">
        <fgColor rgb="FFFFCC99"/>
        <bgColor rgb="FFDDD9C3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9900"/>
      </patternFill>
    </fill>
    <fill>
      <patternFill patternType="solid">
        <fgColor rgb="FF0066CC"/>
        <bgColor rgb="FF4A80AE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9966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800000"/>
      </patternFill>
    </fill>
    <fill>
      <patternFill patternType="solid">
        <fgColor rgb="FF339966"/>
        <bgColor rgb="FF2C9243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CC"/>
        <bgColor rgb="FFEBFED2"/>
      </patternFill>
    </fill>
    <fill>
      <patternFill patternType="solid">
        <fgColor rgb="FFCCFF99"/>
        <bgColor rgb="FFCCFFCC"/>
      </patternFill>
    </fill>
    <fill>
      <patternFill patternType="solid">
        <fgColor rgb="FFFFFFFF"/>
        <bgColor rgb="FFF9F9F9"/>
      </patternFill>
    </fill>
    <fill>
      <patternFill patternType="solid">
        <fgColor rgb="FFD2F9FE"/>
        <bgColor rgb="FFCCFFFF"/>
      </patternFill>
    </fill>
    <fill>
      <patternFill patternType="solid">
        <fgColor rgb="FFDEEBF7"/>
        <bgColor rgb="FFDBEEF4"/>
      </patternFill>
    </fill>
    <fill>
      <patternFill patternType="solid">
        <fgColor rgb="FFFBE5D6"/>
        <bgColor rgb="FFFDEADA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BE5D6"/>
      </patternFill>
    </fill>
    <fill>
      <patternFill patternType="solid">
        <fgColor theme="5" tint="0.79998168889431442"/>
        <bgColor rgb="FFEBFED2"/>
      </patternFill>
    </fill>
    <fill>
      <patternFill patternType="solid">
        <fgColor rgb="FFFFFFCC"/>
        <bgColor indexed="64"/>
      </patternFill>
    </fill>
    <fill>
      <patternFill patternType="solid">
        <fgColor rgb="FFFFF2CC"/>
        <bgColor rgb="FFDEEBF7"/>
      </patternFill>
    </fill>
    <fill>
      <patternFill patternType="solid">
        <fgColor theme="8" tint="0.79998168889431442"/>
        <bgColor rgb="FFDBEEF4"/>
      </patternFill>
    </fill>
    <fill>
      <patternFill patternType="solid">
        <fgColor theme="8" tint="0.79998168889431442"/>
        <bgColor rgb="FFEEEEEE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FDEADA"/>
      </patternFill>
    </fill>
    <fill>
      <patternFill patternType="solid">
        <fgColor rgb="FFFFF2CC"/>
        <bgColor rgb="FFDAE3F3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EBFED2"/>
      </patternFill>
    </fill>
    <fill>
      <patternFill patternType="solid">
        <fgColor rgb="FFFFF2CC"/>
        <bgColor rgb="FFFBE5D6"/>
      </patternFill>
    </fill>
    <fill>
      <patternFill patternType="solid">
        <fgColor rgb="FFFFF2CC"/>
        <bgColor rgb="FFFDEADA"/>
      </patternFill>
    </fill>
    <fill>
      <patternFill patternType="solid">
        <fgColor theme="0"/>
        <bgColor rgb="FFEBF1DE"/>
      </patternFill>
    </fill>
    <fill>
      <patternFill patternType="solid">
        <fgColor theme="0"/>
        <bgColor rgb="FFEEEEEE"/>
      </patternFill>
    </fill>
    <fill>
      <patternFill patternType="solid">
        <fgColor theme="8" tint="0.79998168889431442"/>
        <bgColor rgb="FFDEEBF7"/>
      </patternFill>
    </fill>
    <fill>
      <patternFill patternType="solid">
        <fgColor theme="8" tint="0.79998168889431442"/>
        <bgColor rgb="FFEBF1DE"/>
      </patternFill>
    </fill>
    <fill>
      <patternFill patternType="solid">
        <fgColor theme="8" tint="0.79998168889431442"/>
        <bgColor rgb="FFCCFFFF"/>
      </patternFill>
    </fill>
    <fill>
      <patternFill patternType="solid">
        <fgColor theme="5" tint="0.79998168889431442"/>
        <bgColor rgb="FFDBEEF4"/>
      </patternFill>
    </fill>
    <fill>
      <patternFill patternType="solid">
        <fgColor theme="5" tint="0.79998168889431442"/>
        <bgColor rgb="FFFDEADA"/>
      </patternFill>
    </fill>
    <fill>
      <patternFill patternType="solid">
        <fgColor theme="8" tint="0.79998168889431442"/>
        <bgColor rgb="FFD2F9FE"/>
      </patternFill>
    </fill>
    <fill>
      <patternFill patternType="solid">
        <fgColor rgb="FFD2FAFE"/>
        <bgColor rgb="FFCCFFFF"/>
      </patternFill>
    </fill>
    <fill>
      <patternFill patternType="solid">
        <fgColor rgb="FFD2FAFE"/>
        <bgColor rgb="FFD2F9FE"/>
      </patternFill>
    </fill>
    <fill>
      <patternFill patternType="solid">
        <fgColor rgb="FFD2FAF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EF8FE"/>
        <bgColor indexed="64"/>
      </patternFill>
    </fill>
    <fill>
      <patternFill patternType="solid">
        <fgColor theme="7" tint="0.79998168889431442"/>
        <bgColor rgb="FFFBE5D6"/>
      </patternFill>
    </fill>
    <fill>
      <patternFill patternType="solid">
        <fgColor theme="5" tint="0.79998168889431442"/>
        <bgColor rgb="FFEBF1DE"/>
      </patternFill>
    </fill>
    <fill>
      <patternFill patternType="solid">
        <fgColor rgb="FFD2FAFE"/>
        <bgColor rgb="FFCCFFCC"/>
      </patternFill>
    </fill>
    <fill>
      <patternFill patternType="solid">
        <fgColor theme="7" tint="0.79998168889431442"/>
        <bgColor rgb="FFCCFFCC"/>
      </patternFill>
    </fill>
  </fills>
  <borders count="2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350">
    <xf numFmtId="0" fontId="0" fillId="0" borderId="0"/>
    <xf numFmtId="9" fontId="24" fillId="0" borderId="0" applyBorder="0" applyProtection="0"/>
    <xf numFmtId="0" fontId="23" fillId="0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6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9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2" fillId="0" borderId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4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5" fillId="21" borderId="2" applyProtection="0"/>
    <xf numFmtId="4" fontId="6" fillId="0" borderId="0"/>
    <xf numFmtId="164" fontId="24" fillId="0" borderId="0" applyBorder="0" applyProtection="0"/>
    <xf numFmtId="3" fontId="24" fillId="0" borderId="0" applyBorder="0" applyProtection="0"/>
    <xf numFmtId="165" fontId="24" fillId="0" borderId="0" applyBorder="0" applyProtection="0"/>
    <xf numFmtId="0" fontId="24" fillId="0" borderId="0" applyBorder="0" applyProtection="0"/>
    <xf numFmtId="0" fontId="2" fillId="0" borderId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0" fontId="7" fillId="0" borderId="0" applyBorder="0" applyProtection="0"/>
    <xf numFmtId="2" fontId="24" fillId="0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2" fillId="0" borderId="0" applyBorder="0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167" fontId="24" fillId="0" borderId="0" applyBorder="0" applyProtection="0"/>
    <xf numFmtId="167" fontId="24" fillId="0" borderId="0" applyBorder="0" applyProtection="0"/>
    <xf numFmtId="168" fontId="24" fillId="0" borderId="0" applyBorder="0" applyProtection="0"/>
    <xf numFmtId="168" fontId="24" fillId="0" borderId="0" applyBorder="0" applyProtection="0"/>
    <xf numFmtId="168" fontId="24" fillId="0" borderId="0" applyBorder="0" applyProtection="0"/>
    <xf numFmtId="168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9" fontId="24" fillId="0" borderId="0" applyBorder="0" applyProtection="0"/>
    <xf numFmtId="170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68" fontId="24" fillId="0" borderId="0" applyBorder="0" applyProtection="0"/>
    <xf numFmtId="168" fontId="24" fillId="0" borderId="0" applyBorder="0" applyProtection="0"/>
    <xf numFmtId="168" fontId="24" fillId="0" borderId="0" applyBorder="0" applyProtection="0"/>
    <xf numFmtId="168" fontId="24" fillId="0" borderId="0" applyBorder="0" applyProtection="0"/>
    <xf numFmtId="168" fontId="24" fillId="0" borderId="0" applyBorder="0" applyProtection="0"/>
    <xf numFmtId="170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71" fontId="24" fillId="0" borderId="0" applyBorder="0" applyProtection="0"/>
    <xf numFmtId="171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2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64" fontId="24" fillId="0" borderId="0" applyBorder="0" applyProtection="0"/>
    <xf numFmtId="172" fontId="24" fillId="0" borderId="0" applyBorder="0" applyProtection="0"/>
    <xf numFmtId="173" fontId="24" fillId="0" borderId="0" applyBorder="0" applyProtection="0"/>
    <xf numFmtId="164" fontId="24" fillId="0" borderId="0" applyBorder="0" applyProtection="0"/>
    <xf numFmtId="174" fontId="24" fillId="0" borderId="0" applyBorder="0" applyProtection="0"/>
    <xf numFmtId="174" fontId="24" fillId="0" borderId="0" applyBorder="0" applyProtection="0"/>
    <xf numFmtId="175" fontId="24" fillId="0" borderId="0" applyBorder="0" applyProtection="0"/>
    <xf numFmtId="176" fontId="24" fillId="0" borderId="0" applyBorder="0" applyProtection="0"/>
    <xf numFmtId="177" fontId="24" fillId="0" borderId="0" applyBorder="0" applyProtection="0"/>
    <xf numFmtId="178" fontId="24" fillId="0" borderId="0" applyBorder="0" applyProtection="0"/>
    <xf numFmtId="178" fontId="24" fillId="0" borderId="0" applyBorder="0" applyProtection="0"/>
    <xf numFmtId="178" fontId="24" fillId="0" borderId="0" applyBorder="0" applyProtection="0"/>
    <xf numFmtId="178" fontId="24" fillId="0" borderId="0" applyBorder="0" applyProtection="0"/>
    <xf numFmtId="178" fontId="24" fillId="0" borderId="0" applyBorder="0" applyProtection="0"/>
    <xf numFmtId="178" fontId="24" fillId="0" borderId="0" applyBorder="0" applyProtection="0"/>
    <xf numFmtId="178" fontId="24" fillId="0" borderId="0" applyBorder="0" applyProtection="0"/>
    <xf numFmtId="178" fontId="24" fillId="0" borderId="0" applyBorder="0" applyProtection="0"/>
    <xf numFmtId="178" fontId="24" fillId="0" borderId="0" applyBorder="0" applyProtection="0"/>
    <xf numFmtId="178" fontId="24" fillId="0" borderId="0" applyBorder="0" applyProtection="0"/>
    <xf numFmtId="178" fontId="24" fillId="0" borderId="0" applyBorder="0" applyProtection="0"/>
    <xf numFmtId="178" fontId="24" fillId="0" borderId="0" applyBorder="0" applyProtection="0"/>
    <xf numFmtId="178" fontId="24" fillId="0" borderId="0" applyBorder="0" applyProtection="0"/>
    <xf numFmtId="178" fontId="24" fillId="0" borderId="0" applyBorder="0" applyProtection="0"/>
    <xf numFmtId="178" fontId="24" fillId="0" borderId="0" applyBorder="0" applyProtection="0"/>
    <xf numFmtId="178" fontId="24" fillId="0" borderId="0" applyBorder="0" applyProtection="0"/>
    <xf numFmtId="177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7" fontId="24" fillId="0" borderId="0" applyBorder="0" applyProtection="0"/>
    <xf numFmtId="179" fontId="24" fillId="0" borderId="0" applyBorder="0" applyProtection="0"/>
    <xf numFmtId="179" fontId="24" fillId="0" borderId="0" applyBorder="0" applyProtection="0"/>
    <xf numFmtId="179" fontId="24" fillId="0" borderId="0" applyBorder="0" applyProtection="0"/>
    <xf numFmtId="179" fontId="24" fillId="0" borderId="0" applyBorder="0" applyProtection="0"/>
    <xf numFmtId="179" fontId="24" fillId="0" borderId="0" applyBorder="0" applyProtection="0"/>
    <xf numFmtId="179" fontId="24" fillId="0" borderId="0" applyBorder="0" applyProtection="0"/>
    <xf numFmtId="179" fontId="24" fillId="0" borderId="0" applyBorder="0" applyProtection="0"/>
    <xf numFmtId="179" fontId="24" fillId="0" borderId="0" applyBorder="0" applyProtection="0"/>
    <xf numFmtId="179" fontId="24" fillId="0" borderId="0" applyBorder="0" applyProtection="0"/>
    <xf numFmtId="179" fontId="24" fillId="0" borderId="0" applyBorder="0" applyProtection="0"/>
    <xf numFmtId="179" fontId="24" fillId="0" borderId="0" applyBorder="0" applyProtection="0"/>
    <xf numFmtId="179" fontId="24" fillId="0" borderId="0" applyBorder="0" applyProtection="0"/>
    <xf numFmtId="179" fontId="24" fillId="0" borderId="0" applyBorder="0" applyProtection="0"/>
    <xf numFmtId="179" fontId="24" fillId="0" borderId="0" applyBorder="0" applyProtection="0"/>
    <xf numFmtId="179" fontId="24" fillId="0" borderId="0" applyBorder="0" applyProtection="0"/>
    <xf numFmtId="179" fontId="24" fillId="0" borderId="0" applyBorder="0" applyProtection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7" fillId="0" borderId="0" applyBorder="0" applyProtection="0"/>
    <xf numFmtId="181" fontId="24" fillId="0" borderId="0" applyBorder="0" applyProtection="0"/>
    <xf numFmtId="181" fontId="24" fillId="0" borderId="0" applyBorder="0" applyProtection="0"/>
    <xf numFmtId="185" fontId="24" fillId="0" borderId="0" applyBorder="0" applyProtection="0"/>
    <xf numFmtId="43" fontId="24" fillId="0" borderId="0" applyFont="0" applyFill="0" applyBorder="0" applyAlignment="0" applyProtection="0"/>
  </cellStyleXfs>
  <cellXfs count="649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right" indent="1"/>
    </xf>
    <xf numFmtId="0" fontId="19" fillId="0" borderId="0" xfId="0" applyFont="1" applyAlignment="1">
      <alignment horizontal="center"/>
    </xf>
    <xf numFmtId="0" fontId="20" fillId="23" borderId="11" xfId="0" applyFont="1" applyFill="1" applyBorder="1"/>
    <xf numFmtId="0" fontId="20" fillId="0" borderId="0" xfId="0" applyFont="1" applyAlignment="1">
      <alignment horizontal="right" indent="1"/>
    </xf>
    <xf numFmtId="0" fontId="20" fillId="0" borderId="0" xfId="0" applyFont="1"/>
    <xf numFmtId="0" fontId="20" fillId="25" borderId="11" xfId="0" applyFont="1" applyFill="1" applyBorder="1"/>
    <xf numFmtId="0" fontId="20" fillId="0" borderId="0" xfId="0" applyFont="1" applyAlignment="1">
      <alignment horizontal="left"/>
    </xf>
    <xf numFmtId="0" fontId="20" fillId="23" borderId="9" xfId="0" applyFont="1" applyFill="1" applyBorder="1" applyAlignment="1">
      <alignment vertical="center" wrapText="1"/>
    </xf>
    <xf numFmtId="0" fontId="20" fillId="23" borderId="10" xfId="0" applyFont="1" applyFill="1" applyBorder="1" applyAlignment="1">
      <alignment horizontal="center"/>
    </xf>
    <xf numFmtId="4" fontId="20" fillId="23" borderId="10" xfId="0" applyNumberFormat="1" applyFont="1" applyFill="1" applyBorder="1" applyAlignment="1">
      <alignment horizontal="right" indent="1"/>
    </xf>
    <xf numFmtId="0" fontId="20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25" borderId="10" xfId="0" applyFont="1" applyFill="1" applyBorder="1" applyAlignment="1">
      <alignment horizontal="center"/>
    </xf>
    <xf numFmtId="0" fontId="18" fillId="0" borderId="10" xfId="0" applyFont="1" applyBorder="1"/>
    <xf numFmtId="0" fontId="18" fillId="0" borderId="0" xfId="0" applyFont="1" applyAlignment="1">
      <alignment horizontal="right"/>
    </xf>
    <xf numFmtId="0" fontId="18" fillId="26" borderId="9" xfId="0" applyFont="1" applyFill="1" applyBorder="1"/>
    <xf numFmtId="0" fontId="20" fillId="26" borderId="10" xfId="0" applyFont="1" applyFill="1" applyBorder="1" applyAlignment="1">
      <alignment horizontal="center"/>
    </xf>
    <xf numFmtId="2" fontId="18" fillId="26" borderId="10" xfId="0" applyNumberFormat="1" applyFont="1" applyFill="1" applyBorder="1" applyAlignment="1">
      <alignment horizontal="right" indent="1"/>
    </xf>
    <xf numFmtId="0" fontId="18" fillId="26" borderId="11" xfId="0" applyFont="1" applyFill="1" applyBorder="1"/>
    <xf numFmtId="3" fontId="20" fillId="23" borderId="10" xfId="0" applyNumberFormat="1" applyFont="1" applyFill="1" applyBorder="1" applyAlignment="1">
      <alignment horizontal="right" indent="1"/>
    </xf>
    <xf numFmtId="0" fontId="20" fillId="0" borderId="10" xfId="0" applyFont="1" applyBorder="1" applyAlignment="1">
      <alignment horizontal="left"/>
    </xf>
    <xf numFmtId="0" fontId="18" fillId="27" borderId="11" xfId="0" applyFont="1" applyFill="1" applyBorder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169" fontId="20" fillId="0" borderId="0" xfId="0" applyNumberFormat="1" applyFont="1" applyAlignment="1">
      <alignment horizontal="right" indent="1"/>
    </xf>
    <xf numFmtId="0" fontId="18" fillId="0" borderId="0" xfId="0" applyFont="1" applyAlignment="1">
      <alignment horizontal="center"/>
    </xf>
    <xf numFmtId="2" fontId="20" fillId="0" borderId="0" xfId="0" applyNumberFormat="1" applyFont="1"/>
    <xf numFmtId="0" fontId="19" fillId="0" borderId="0" xfId="0" applyFont="1"/>
    <xf numFmtId="0" fontId="20" fillId="0" borderId="9" xfId="0" applyFont="1" applyBorder="1"/>
    <xf numFmtId="0" fontId="20" fillId="25" borderId="11" xfId="0" applyFont="1" applyFill="1" applyBorder="1" applyAlignment="1">
      <alignment horizontal="left"/>
    </xf>
    <xf numFmtId="3" fontId="20" fillId="0" borderId="19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2" fontId="18" fillId="0" borderId="0" xfId="0" applyNumberFormat="1" applyFont="1"/>
    <xf numFmtId="184" fontId="18" fillId="0" borderId="0" xfId="0" applyNumberFormat="1" applyFont="1"/>
    <xf numFmtId="9" fontId="19" fillId="0" borderId="0" xfId="0" applyNumberFormat="1" applyFont="1"/>
    <xf numFmtId="0" fontId="18" fillId="0" borderId="11" xfId="0" applyFont="1" applyBorder="1" applyAlignment="1">
      <alignment horizontal="left"/>
    </xf>
    <xf numFmtId="0" fontId="2" fillId="0" borderId="0" xfId="0" applyFont="1" applyAlignment="1">
      <alignment horizontal="center"/>
    </xf>
    <xf numFmtId="4" fontId="20" fillId="0" borderId="0" xfId="0" applyNumberFormat="1" applyFont="1"/>
    <xf numFmtId="4" fontId="20" fillId="0" borderId="0" xfId="0" applyNumberFormat="1" applyFont="1" applyAlignment="1">
      <alignment horizontal="right" indent="1"/>
    </xf>
    <xf numFmtId="0" fontId="18" fillId="0" borderId="0" xfId="0" applyFont="1" applyAlignment="1">
      <alignment vertical="center"/>
    </xf>
    <xf numFmtId="3" fontId="20" fillId="0" borderId="0" xfId="0" applyNumberFormat="1" applyFont="1" applyAlignment="1">
      <alignment horizontal="right" indent="1"/>
    </xf>
    <xf numFmtId="0" fontId="20" fillId="0" borderId="0" xfId="0" applyFont="1" applyAlignment="1">
      <alignment horizontal="right" vertical="center" indent="1"/>
    </xf>
    <xf numFmtId="164" fontId="18" fillId="0" borderId="0" xfId="0" applyNumberFormat="1" applyFont="1" applyAlignment="1">
      <alignment horizontal="right" indent="1"/>
    </xf>
    <xf numFmtId="164" fontId="18" fillId="0" borderId="10" xfId="0" applyNumberFormat="1" applyFont="1" applyBorder="1" applyAlignment="1">
      <alignment horizontal="right" inden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20" fillId="0" borderId="19" xfId="0" applyFont="1" applyBorder="1" applyAlignment="1">
      <alignment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right" vertical="center" wrapText="1" indent="1"/>
    </xf>
    <xf numFmtId="3" fontId="18" fillId="0" borderId="19" xfId="0" applyNumberFormat="1" applyFont="1" applyBorder="1" applyAlignment="1">
      <alignment horizontal="center" vertical="center" wrapText="1"/>
    </xf>
    <xf numFmtId="3" fontId="18" fillId="0" borderId="19" xfId="0" applyNumberFormat="1" applyFont="1" applyBorder="1" applyAlignment="1">
      <alignment horizontal="right" vertical="center" wrapText="1" indent="1"/>
    </xf>
    <xf numFmtId="3" fontId="20" fillId="0" borderId="19" xfId="0" applyNumberFormat="1" applyFont="1" applyBorder="1" applyAlignment="1">
      <alignment horizontal="right" vertical="center" wrapText="1" indent="1"/>
    </xf>
    <xf numFmtId="9" fontId="20" fillId="0" borderId="19" xfId="1" applyFont="1" applyBorder="1" applyAlignment="1" applyProtection="1">
      <alignment vertical="center" wrapText="1"/>
    </xf>
    <xf numFmtId="9" fontId="18" fillId="0" borderId="19" xfId="1" applyFont="1" applyBorder="1" applyAlignment="1" applyProtection="1">
      <alignment horizontal="center" vertical="center" wrapText="1"/>
    </xf>
    <xf numFmtId="9" fontId="18" fillId="0" borderId="19" xfId="1" applyFont="1" applyBorder="1" applyAlignment="1" applyProtection="1">
      <alignment horizontal="right" vertical="center" wrapText="1" indent="1"/>
    </xf>
    <xf numFmtId="0" fontId="20" fillId="0" borderId="19" xfId="0" applyFont="1" applyBorder="1" applyAlignment="1">
      <alignment vertical="center"/>
    </xf>
    <xf numFmtId="0" fontId="20" fillId="0" borderId="19" xfId="0" applyFont="1" applyBorder="1" applyAlignment="1">
      <alignment wrapText="1"/>
    </xf>
    <xf numFmtId="0" fontId="18" fillId="0" borderId="19" xfId="0" applyFont="1" applyBorder="1" applyAlignment="1">
      <alignment vertical="center"/>
    </xf>
    <xf numFmtId="184" fontId="18" fillId="0" borderId="19" xfId="0" applyNumberFormat="1" applyFont="1" applyBorder="1" applyAlignment="1">
      <alignment horizontal="right" vertical="center" indent="1"/>
    </xf>
    <xf numFmtId="0" fontId="21" fillId="0" borderId="0" xfId="0" applyFont="1" applyAlignment="1">
      <alignment horizontal="center"/>
    </xf>
    <xf numFmtId="0" fontId="20" fillId="30" borderId="9" xfId="0" applyFont="1" applyFill="1" applyBorder="1"/>
    <xf numFmtId="0" fontId="18" fillId="27" borderId="9" xfId="0" applyFont="1" applyFill="1" applyBorder="1" applyAlignment="1">
      <alignment vertical="center"/>
    </xf>
    <xf numFmtId="0" fontId="18" fillId="27" borderId="10" xfId="0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2" fontId="20" fillId="27" borderId="16" xfId="0" applyNumberFormat="1" applyFont="1" applyFill="1" applyBorder="1" applyAlignment="1">
      <alignment horizontal="right" vertical="center" indent="1"/>
    </xf>
    <xf numFmtId="1" fontId="18" fillId="0" borderId="0" xfId="0" applyNumberFormat="1" applyFont="1" applyAlignment="1">
      <alignment horizontal="right" indent="1"/>
    </xf>
    <xf numFmtId="10" fontId="26" fillId="28" borderId="10" xfId="1" applyNumberFormat="1" applyFont="1" applyFill="1" applyBorder="1" applyAlignment="1">
      <alignment horizontal="center"/>
    </xf>
    <xf numFmtId="3" fontId="18" fillId="0" borderId="10" xfId="0" applyNumberFormat="1" applyFont="1" applyBorder="1" applyAlignment="1">
      <alignment horizontal="right" vertical="center" indent="1"/>
    </xf>
    <xf numFmtId="0" fontId="27" fillId="0" borderId="0" xfId="0" applyFont="1"/>
    <xf numFmtId="0" fontId="26" fillId="0" borderId="11" xfId="0" applyFont="1" applyBorder="1"/>
    <xf numFmtId="0" fontId="27" fillId="31" borderId="9" xfId="0" applyFont="1" applyFill="1" applyBorder="1"/>
    <xf numFmtId="2" fontId="27" fillId="31" borderId="11" xfId="0" applyNumberFormat="1" applyFont="1" applyFill="1" applyBorder="1"/>
    <xf numFmtId="0" fontId="21" fillId="0" borderId="10" xfId="0" applyFont="1" applyBorder="1"/>
    <xf numFmtId="2" fontId="27" fillId="0" borderId="0" xfId="0" applyNumberFormat="1" applyFont="1"/>
    <xf numFmtId="1" fontId="20" fillId="24" borderId="0" xfId="0" applyNumberFormat="1" applyFont="1" applyFill="1" applyAlignment="1">
      <alignment horizontal="center" vertical="center" wrapText="1"/>
    </xf>
    <xf numFmtId="0" fontId="18" fillId="33" borderId="11" xfId="0" applyFont="1" applyFill="1" applyBorder="1"/>
    <xf numFmtId="0" fontId="20" fillId="34" borderId="10" xfId="0" applyFont="1" applyFill="1" applyBorder="1" applyAlignment="1">
      <alignment horizontal="center"/>
    </xf>
    <xf numFmtId="2" fontId="20" fillId="34" borderId="10" xfId="0" applyNumberFormat="1" applyFont="1" applyFill="1" applyBorder="1" applyAlignment="1">
      <alignment horizontal="right" indent="1"/>
    </xf>
    <xf numFmtId="0" fontId="20" fillId="34" borderId="11" xfId="0" applyFont="1" applyFill="1" applyBorder="1"/>
    <xf numFmtId="2" fontId="27" fillId="31" borderId="10" xfId="0" applyNumberFormat="1" applyFont="1" applyFill="1" applyBorder="1" applyAlignment="1">
      <alignment horizontal="right" indent="1"/>
    </xf>
    <xf numFmtId="0" fontId="26" fillId="31" borderId="19" xfId="0" applyFont="1" applyFill="1" applyBorder="1" applyAlignment="1">
      <alignment horizontal="center" vertical="center" wrapText="1"/>
    </xf>
    <xf numFmtId="11" fontId="0" fillId="0" borderId="19" xfId="0" applyNumberFormat="1" applyBorder="1" applyAlignment="1">
      <alignment horizontal="center"/>
    </xf>
    <xf numFmtId="0" fontId="31" fillId="35" borderId="19" xfId="0" applyFont="1" applyFill="1" applyBorder="1" applyAlignment="1">
      <alignment horizontal="center" vertical="center" wrapText="1"/>
    </xf>
    <xf numFmtId="2" fontId="31" fillId="35" borderId="19" xfId="0" applyNumberFormat="1" applyFont="1" applyFill="1" applyBorder="1" applyAlignment="1">
      <alignment horizontal="center" vertical="center" wrapText="1"/>
    </xf>
    <xf numFmtId="187" fontId="31" fillId="35" borderId="19" xfId="0" applyNumberFormat="1" applyFont="1" applyFill="1" applyBorder="1" applyAlignment="1">
      <alignment horizontal="center" vertical="center" wrapText="1"/>
    </xf>
    <xf numFmtId="0" fontId="0" fillId="0" borderId="16" xfId="0" applyBorder="1"/>
    <xf numFmtId="0" fontId="23" fillId="0" borderId="17" xfId="2" applyBorder="1"/>
    <xf numFmtId="0" fontId="0" fillId="0" borderId="16" xfId="0" applyBorder="1" applyAlignment="1">
      <alignment horizontal="center"/>
    </xf>
    <xf numFmtId="0" fontId="0" fillId="0" borderId="18" xfId="0" applyBorder="1"/>
    <xf numFmtId="0" fontId="35" fillId="0" borderId="0" xfId="0" applyFont="1" applyAlignment="1">
      <alignment horizontal="center" vertical="center"/>
    </xf>
    <xf numFmtId="0" fontId="18" fillId="33" borderId="10" xfId="0" applyFont="1" applyFill="1" applyBorder="1"/>
    <xf numFmtId="0" fontId="0" fillId="0" borderId="10" xfId="0" applyBorder="1"/>
    <xf numFmtId="0" fontId="36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37" fillId="0" borderId="0" xfId="0" applyFont="1" applyAlignment="1">
      <alignment horizontal="center" vertical="center" wrapText="1"/>
    </xf>
    <xf numFmtId="0" fontId="0" fillId="0" borderId="19" xfId="0" applyBorder="1" applyAlignment="1">
      <alignment horizontal="center"/>
    </xf>
    <xf numFmtId="1" fontId="20" fillId="25" borderId="10" xfId="0" applyNumberFormat="1" applyFont="1" applyFill="1" applyBorder="1" applyAlignment="1">
      <alignment horizontal="right" indent="1"/>
    </xf>
    <xf numFmtId="0" fontId="18" fillId="0" borderId="9" xfId="0" applyFont="1" applyBorder="1"/>
    <xf numFmtId="0" fontId="26" fillId="0" borderId="0" xfId="0" applyFont="1"/>
    <xf numFmtId="0" fontId="25" fillId="0" borderId="11" xfId="0" applyFont="1" applyBorder="1"/>
    <xf numFmtId="2" fontId="0" fillId="0" borderId="19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180" fontId="27" fillId="0" borderId="19" xfId="0" applyNumberFormat="1" applyFont="1" applyBorder="1" applyAlignment="1">
      <alignment horizontal="center"/>
    </xf>
    <xf numFmtId="0" fontId="20" fillId="36" borderId="10" xfId="0" applyFont="1" applyFill="1" applyBorder="1" applyAlignment="1">
      <alignment horizontal="center"/>
    </xf>
    <xf numFmtId="2" fontId="20" fillId="36" borderId="16" xfId="0" applyNumberFormat="1" applyFont="1" applyFill="1" applyBorder="1" applyAlignment="1">
      <alignment horizontal="right" indent="1"/>
    </xf>
    <xf numFmtId="0" fontId="20" fillId="36" borderId="11" xfId="0" applyFont="1" applyFill="1" applyBorder="1" applyAlignment="1">
      <alignment horizontal="left"/>
    </xf>
    <xf numFmtId="0" fontId="18" fillId="37" borderId="10" xfId="0" applyFont="1" applyFill="1" applyBorder="1" applyAlignment="1">
      <alignment horizontal="center" vertical="center"/>
    </xf>
    <xf numFmtId="0" fontId="18" fillId="37" borderId="11" xfId="0" applyFont="1" applyFill="1" applyBorder="1"/>
    <xf numFmtId="0" fontId="20" fillId="36" borderId="11" xfId="0" applyFont="1" applyFill="1" applyBorder="1"/>
    <xf numFmtId="0" fontId="18" fillId="33" borderId="10" xfId="0" applyFont="1" applyFill="1" applyBorder="1" applyAlignment="1">
      <alignment horizontal="right" indent="1"/>
    </xf>
    <xf numFmtId="0" fontId="20" fillId="34" borderId="9" xfId="0" applyFont="1" applyFill="1" applyBorder="1" applyAlignment="1">
      <alignment vertical="center" wrapText="1"/>
    </xf>
    <xf numFmtId="186" fontId="27" fillId="31" borderId="10" xfId="0" applyNumberFormat="1" applyFont="1" applyFill="1" applyBorder="1" applyAlignment="1">
      <alignment horizontal="center" vertical="center"/>
    </xf>
    <xf numFmtId="186" fontId="27" fillId="31" borderId="10" xfId="0" applyNumberFormat="1" applyFont="1" applyFill="1" applyBorder="1" applyAlignment="1">
      <alignment horizontal="center"/>
    </xf>
    <xf numFmtId="0" fontId="27" fillId="31" borderId="9" xfId="0" applyFont="1" applyFill="1" applyBorder="1" applyAlignment="1">
      <alignment vertical="center" wrapText="1"/>
    </xf>
    <xf numFmtId="2" fontId="27" fillId="31" borderId="11" xfId="0" applyNumberFormat="1" applyFont="1" applyFill="1" applyBorder="1" applyAlignment="1">
      <alignment vertical="center"/>
    </xf>
    <xf numFmtId="2" fontId="27" fillId="31" borderId="10" xfId="0" applyNumberFormat="1" applyFont="1" applyFill="1" applyBorder="1" applyAlignment="1">
      <alignment horizontal="right" vertical="center" indent="1"/>
    </xf>
    <xf numFmtId="182" fontId="27" fillId="31" borderId="10" xfId="0" applyNumberFormat="1" applyFont="1" applyFill="1" applyBorder="1" applyAlignment="1">
      <alignment horizontal="right" vertical="center" indent="1"/>
    </xf>
    <xf numFmtId="0" fontId="18" fillId="0" borderId="9" xfId="0" applyFont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2" fontId="20" fillId="0" borderId="16" xfId="0" applyNumberFormat="1" applyFont="1" applyBorder="1" applyAlignment="1">
      <alignment horizontal="right" vertical="center" indent="1"/>
    </xf>
    <xf numFmtId="0" fontId="18" fillId="0" borderId="11" xfId="0" applyFont="1" applyBorder="1"/>
    <xf numFmtId="2" fontId="20" fillId="0" borderId="10" xfId="0" applyNumberFormat="1" applyFont="1" applyBorder="1" applyAlignment="1">
      <alignment horizontal="right" indent="1"/>
    </xf>
    <xf numFmtId="2" fontId="20" fillId="0" borderId="10" xfId="0" applyNumberFormat="1" applyFont="1" applyBorder="1" applyAlignment="1">
      <alignment horizontal="right" vertical="center" indent="1"/>
    </xf>
    <xf numFmtId="2" fontId="18" fillId="0" borderId="10" xfId="0" applyNumberFormat="1" applyFont="1" applyBorder="1" applyAlignment="1">
      <alignment horizontal="right" indent="1"/>
    </xf>
    <xf numFmtId="1" fontId="20" fillId="27" borderId="16" xfId="0" applyNumberFormat="1" applyFont="1" applyFill="1" applyBorder="1" applyAlignment="1">
      <alignment horizontal="right" vertical="center" indent="1"/>
    </xf>
    <xf numFmtId="2" fontId="27" fillId="0" borderId="10" xfId="0" applyNumberFormat="1" applyFont="1" applyBorder="1" applyAlignment="1">
      <alignment horizontal="right" vertical="center" indent="1"/>
    </xf>
    <xf numFmtId="3" fontId="20" fillId="0" borderId="10" xfId="0" applyNumberFormat="1" applyFont="1" applyBorder="1" applyAlignment="1">
      <alignment horizontal="right" vertical="center" indent="1"/>
    </xf>
    <xf numFmtId="0" fontId="20" fillId="0" borderId="19" xfId="0" applyFont="1" applyBorder="1" applyAlignment="1">
      <alignment horizontal="right" vertical="center"/>
    </xf>
    <xf numFmtId="2" fontId="18" fillId="0" borderId="0" xfId="0" applyNumberFormat="1" applyFont="1" applyAlignment="1">
      <alignment horizontal="right" indent="1"/>
    </xf>
    <xf numFmtId="11" fontId="18" fillId="0" borderId="0" xfId="0" applyNumberFormat="1" applyFont="1" applyAlignment="1">
      <alignment horizontal="right" indent="1"/>
    </xf>
    <xf numFmtId="182" fontId="18" fillId="0" borderId="0" xfId="0" applyNumberFormat="1" applyFont="1" applyAlignment="1">
      <alignment horizontal="right" indent="1"/>
    </xf>
    <xf numFmtId="10" fontId="18" fillId="0" borderId="0" xfId="0" applyNumberFormat="1" applyFont="1" applyAlignment="1">
      <alignment horizontal="right" indent="1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164" fontId="20" fillId="0" borderId="0" xfId="0" applyNumberFormat="1" applyFont="1"/>
    <xf numFmtId="11" fontId="20" fillId="0" borderId="0" xfId="0" applyNumberFormat="1" applyFont="1"/>
    <xf numFmtId="182" fontId="20" fillId="0" borderId="0" xfId="0" applyNumberFormat="1" applyFont="1"/>
    <xf numFmtId="10" fontId="20" fillId="0" borderId="0" xfId="0" applyNumberFormat="1" applyFont="1"/>
    <xf numFmtId="180" fontId="20" fillId="0" borderId="0" xfId="0" applyNumberFormat="1" applyFont="1"/>
    <xf numFmtId="2" fontId="18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183" fontId="20" fillId="0" borderId="0" xfId="0" applyNumberFormat="1" applyFont="1"/>
    <xf numFmtId="2" fontId="20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right" indent="1"/>
    </xf>
    <xf numFmtId="2" fontId="20" fillId="0" borderId="0" xfId="0" applyNumberFormat="1" applyFont="1" applyAlignment="1">
      <alignment horizontal="left"/>
    </xf>
    <xf numFmtId="1" fontId="20" fillId="0" borderId="0" xfId="0" applyNumberFormat="1" applyFont="1"/>
    <xf numFmtId="184" fontId="18" fillId="0" borderId="0" xfId="0" applyNumberFormat="1" applyFont="1" applyAlignment="1">
      <alignment horizontal="right" vertical="center" indent="1"/>
    </xf>
    <xf numFmtId="0" fontId="20" fillId="0" borderId="0" xfId="0" applyFont="1" applyAlignment="1">
      <alignment wrapText="1"/>
    </xf>
    <xf numFmtId="3" fontId="20" fillId="0" borderId="0" xfId="0" applyNumberFormat="1" applyFont="1" applyAlignment="1">
      <alignment horizontal="center" vertical="center" wrapText="1"/>
    </xf>
    <xf numFmtId="0" fontId="20" fillId="0" borderId="19" xfId="0" applyFont="1" applyBorder="1" applyAlignment="1">
      <alignment horizontal="right"/>
    </xf>
    <xf numFmtId="0" fontId="18" fillId="0" borderId="10" xfId="0" applyFont="1" applyBorder="1" applyAlignment="1">
      <alignment horizontal="right" indent="1"/>
    </xf>
    <xf numFmtId="0" fontId="18" fillId="0" borderId="10" xfId="0" applyFont="1" applyBorder="1" applyAlignment="1">
      <alignment horizontal="left"/>
    </xf>
    <xf numFmtId="0" fontId="20" fillId="38" borderId="23" xfId="0" applyFont="1" applyFill="1" applyBorder="1" applyAlignment="1">
      <alignment horizontal="center"/>
    </xf>
    <xf numFmtId="0" fontId="20" fillId="38" borderId="21" xfId="0" applyFont="1" applyFill="1" applyBorder="1" applyAlignment="1">
      <alignment horizontal="center"/>
    </xf>
    <xf numFmtId="2" fontId="20" fillId="38" borderId="19" xfId="0" applyNumberFormat="1" applyFont="1" applyFill="1" applyBorder="1" applyAlignment="1">
      <alignment horizontal="center"/>
    </xf>
    <xf numFmtId="2" fontId="20" fillId="38" borderId="11" xfId="0" applyNumberFormat="1" applyFont="1" applyFill="1" applyBorder="1" applyAlignment="1">
      <alignment horizontal="right" indent="1"/>
    </xf>
    <xf numFmtId="2" fontId="20" fillId="38" borderId="11" xfId="0" applyNumberFormat="1" applyFont="1" applyFill="1" applyBorder="1" applyAlignment="1">
      <alignment horizontal="center"/>
    </xf>
    <xf numFmtId="1" fontId="18" fillId="41" borderId="10" xfId="0" applyNumberFormat="1" applyFont="1" applyFill="1" applyBorder="1"/>
    <xf numFmtId="0" fontId="18" fillId="41" borderId="10" xfId="0" applyFont="1" applyFill="1" applyBorder="1" applyAlignment="1">
      <alignment horizontal="center"/>
    </xf>
    <xf numFmtId="2" fontId="20" fillId="41" borderId="10" xfId="0" applyNumberFormat="1" applyFont="1" applyFill="1" applyBorder="1" applyAlignment="1">
      <alignment horizontal="right" vertical="center" indent="1"/>
    </xf>
    <xf numFmtId="0" fontId="18" fillId="41" borderId="11" xfId="0" applyFont="1" applyFill="1" applyBorder="1"/>
    <xf numFmtId="0" fontId="18" fillId="42" borderId="9" xfId="0" applyFont="1" applyFill="1" applyBorder="1" applyAlignment="1">
      <alignment vertical="center"/>
    </xf>
    <xf numFmtId="0" fontId="18" fillId="42" borderId="10" xfId="0" applyFont="1" applyFill="1" applyBorder="1" applyAlignment="1">
      <alignment horizontal="center" vertical="center"/>
    </xf>
    <xf numFmtId="2" fontId="20" fillId="42" borderId="16" xfId="0" applyNumberFormat="1" applyFont="1" applyFill="1" applyBorder="1" applyAlignment="1">
      <alignment horizontal="right" vertical="center" indent="1"/>
    </xf>
    <xf numFmtId="0" fontId="18" fillId="42" borderId="11" xfId="0" applyFont="1" applyFill="1" applyBorder="1"/>
    <xf numFmtId="0" fontId="0" fillId="0" borderId="19" xfId="0" applyBorder="1"/>
    <xf numFmtId="0" fontId="41" fillId="0" borderId="0" xfId="0" applyFont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6" fillId="0" borderId="9" xfId="0" applyFont="1" applyBorder="1"/>
    <xf numFmtId="2" fontId="26" fillId="0" borderId="9" xfId="0" applyNumberFormat="1" applyFont="1" applyBorder="1"/>
    <xf numFmtId="2" fontId="20" fillId="0" borderId="9" xfId="0" applyNumberFormat="1" applyFont="1" applyBorder="1" applyAlignment="1">
      <alignment horizontal="right"/>
    </xf>
    <xf numFmtId="0" fontId="26" fillId="0" borderId="10" xfId="0" applyFont="1" applyBorder="1"/>
    <xf numFmtId="2" fontId="26" fillId="0" borderId="9" xfId="0" applyNumberFormat="1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2" fontId="26" fillId="0" borderId="10" xfId="0" applyNumberFormat="1" applyFont="1" applyBorder="1"/>
    <xf numFmtId="0" fontId="25" fillId="0" borderId="9" xfId="0" applyFont="1" applyBorder="1"/>
    <xf numFmtId="0" fontId="25" fillId="0" borderId="10" xfId="0" applyFont="1" applyBorder="1"/>
    <xf numFmtId="3" fontId="25" fillId="0" borderId="9" xfId="0" applyNumberFormat="1" applyFont="1" applyBorder="1" applyAlignment="1">
      <alignment vertical="center"/>
    </xf>
    <xf numFmtId="0" fontId="26" fillId="0" borderId="9" xfId="0" applyFont="1" applyBorder="1" applyAlignment="1">
      <alignment vertical="center" wrapText="1"/>
    </xf>
    <xf numFmtId="0" fontId="26" fillId="0" borderId="9" xfId="0" applyFont="1" applyBorder="1" applyAlignment="1">
      <alignment vertical="center"/>
    </xf>
    <xf numFmtId="188" fontId="26" fillId="0" borderId="9" xfId="0" applyNumberFormat="1" applyFont="1" applyBorder="1" applyAlignment="1">
      <alignment vertical="center"/>
    </xf>
    <xf numFmtId="4" fontId="26" fillId="0" borderId="9" xfId="0" applyNumberFormat="1" applyFont="1" applyBorder="1" applyAlignment="1">
      <alignment vertical="center"/>
    </xf>
    <xf numFmtId="0" fontId="25" fillId="0" borderId="0" xfId="0" applyFont="1" applyAlignment="1">
      <alignment horizontal="center"/>
    </xf>
    <xf numFmtId="0" fontId="25" fillId="0" borderId="9" xfId="0" applyFont="1" applyBorder="1" applyAlignment="1">
      <alignment horizontal="center" vertical="center"/>
    </xf>
    <xf numFmtId="1" fontId="18" fillId="24" borderId="0" xfId="0" applyNumberFormat="1" applyFont="1" applyFill="1" applyAlignment="1">
      <alignment horizontal="center" vertical="center" wrapText="1"/>
    </xf>
    <xf numFmtId="9" fontId="20" fillId="24" borderId="0" xfId="1172" applyFont="1" applyFill="1" applyBorder="1" applyAlignment="1" applyProtection="1">
      <alignment horizontal="center" vertical="center" wrapText="1"/>
    </xf>
    <xf numFmtId="0" fontId="45" fillId="0" borderId="0" xfId="0" applyFont="1" applyAlignment="1">
      <alignment horizontal="center"/>
    </xf>
    <xf numFmtId="2" fontId="26" fillId="0" borderId="10" xfId="0" applyNumberFormat="1" applyFont="1" applyBorder="1" applyAlignment="1">
      <alignment vertical="center"/>
    </xf>
    <xf numFmtId="1" fontId="18" fillId="0" borderId="10" xfId="0" applyNumberFormat="1" applyFont="1" applyBorder="1" applyAlignment="1">
      <alignment horizontal="right" indent="1"/>
    </xf>
    <xf numFmtId="0" fontId="27" fillId="0" borderId="10" xfId="0" applyFont="1" applyBorder="1" applyAlignment="1">
      <alignment horizontal="center"/>
    </xf>
    <xf numFmtId="1" fontId="18" fillId="0" borderId="9" xfId="0" applyNumberFormat="1" applyFont="1" applyBorder="1"/>
    <xf numFmtId="0" fontId="27" fillId="0" borderId="9" xfId="0" applyFont="1" applyBorder="1"/>
    <xf numFmtId="2" fontId="27" fillId="0" borderId="10" xfId="0" applyNumberFormat="1" applyFont="1" applyBorder="1" applyAlignment="1">
      <alignment horizontal="right" indent="1"/>
    </xf>
    <xf numFmtId="0" fontId="27" fillId="0" borderId="11" xfId="0" applyFont="1" applyBorder="1"/>
    <xf numFmtId="0" fontId="29" fillId="0" borderId="12" xfId="0" applyFont="1" applyBorder="1" applyAlignment="1">
      <alignment horizontal="right" vertical="center" wrapText="1"/>
    </xf>
    <xf numFmtId="0" fontId="26" fillId="0" borderId="0" xfId="0" applyFont="1" applyAlignment="1">
      <alignment horizontal="right"/>
    </xf>
    <xf numFmtId="0" fontId="25" fillId="0" borderId="16" xfId="0" applyFont="1" applyBorder="1" applyAlignment="1">
      <alignment horizontal="center"/>
    </xf>
    <xf numFmtId="0" fontId="26" fillId="0" borderId="9" xfId="0" applyFont="1" applyBorder="1" applyAlignment="1">
      <alignment horizontal="right" vertical="center"/>
    </xf>
    <xf numFmtId="2" fontId="25" fillId="0" borderId="16" xfId="0" applyNumberFormat="1" applyFont="1" applyBorder="1" applyAlignment="1">
      <alignment horizontal="right"/>
    </xf>
    <xf numFmtId="0" fontId="27" fillId="44" borderId="10" xfId="0" applyFont="1" applyFill="1" applyBorder="1" applyAlignment="1">
      <alignment horizontal="center"/>
    </xf>
    <xf numFmtId="2" fontId="20" fillId="0" borderId="19" xfId="0" applyNumberFormat="1" applyFont="1" applyBorder="1" applyAlignment="1">
      <alignment horizontal="right" indent="1"/>
    </xf>
    <xf numFmtId="2" fontId="27" fillId="0" borderId="19" xfId="0" applyNumberFormat="1" applyFont="1" applyBorder="1" applyAlignment="1">
      <alignment horizontal="right" indent="1"/>
    </xf>
    <xf numFmtId="2" fontId="18" fillId="0" borderId="19" xfId="0" applyNumberFormat="1" applyFont="1" applyBorder="1" applyAlignment="1">
      <alignment horizontal="right" indent="1"/>
    </xf>
    <xf numFmtId="2" fontId="26" fillId="0" borderId="19" xfId="1" applyNumberFormat="1" applyFont="1" applyBorder="1" applyAlignment="1">
      <alignment horizontal="right" indent="1"/>
    </xf>
    <xf numFmtId="2" fontId="18" fillId="0" borderId="19" xfId="0" applyNumberFormat="1" applyFont="1" applyBorder="1" applyAlignment="1">
      <alignment horizontal="right" vertical="center" indent="1"/>
    </xf>
    <xf numFmtId="2" fontId="20" fillId="0" borderId="11" xfId="0" applyNumberFormat="1" applyFont="1" applyBorder="1" applyAlignment="1">
      <alignment horizontal="right" vertical="center" indent="1"/>
    </xf>
    <xf numFmtId="2" fontId="18" fillId="0" borderId="14" xfId="0" applyNumberFormat="1" applyFont="1" applyBorder="1" applyAlignment="1">
      <alignment horizontal="right" indent="1"/>
    </xf>
    <xf numFmtId="4" fontId="20" fillId="0" borderId="10" xfId="0" applyNumberFormat="1" applyFont="1" applyBorder="1" applyAlignment="1">
      <alignment horizontal="right" indent="1"/>
    </xf>
    <xf numFmtId="1" fontId="20" fillId="0" borderId="16" xfId="0" applyNumberFormat="1" applyFont="1" applyBorder="1" applyAlignment="1">
      <alignment horizontal="right" vertical="center" indent="1"/>
    </xf>
    <xf numFmtId="3" fontId="20" fillId="0" borderId="10" xfId="0" applyNumberFormat="1" applyFont="1" applyBorder="1" applyAlignment="1">
      <alignment horizontal="right" indent="1"/>
    </xf>
    <xf numFmtId="1" fontId="0" fillId="0" borderId="19" xfId="0" applyNumberFormat="1" applyBorder="1" applyAlignment="1">
      <alignment horizontal="center"/>
    </xf>
    <xf numFmtId="0" fontId="18" fillId="45" borderId="10" xfId="0" applyFont="1" applyFill="1" applyBorder="1" applyAlignment="1">
      <alignment horizontal="center"/>
    </xf>
    <xf numFmtId="1" fontId="20" fillId="45" borderId="10" xfId="0" applyNumberFormat="1" applyFont="1" applyFill="1" applyBorder="1" applyAlignment="1">
      <alignment horizontal="right" vertical="center" indent="1"/>
    </xf>
    <xf numFmtId="0" fontId="18" fillId="46" borderId="9" xfId="0" applyFont="1" applyFill="1" applyBorder="1"/>
    <xf numFmtId="2" fontId="18" fillId="46" borderId="11" xfId="0" applyNumberFormat="1" applyFont="1" applyFill="1" applyBorder="1" applyAlignment="1">
      <alignment horizontal="left"/>
    </xf>
    <xf numFmtId="0" fontId="20" fillId="46" borderId="9" xfId="0" applyFont="1" applyFill="1" applyBorder="1" applyAlignment="1">
      <alignment vertical="center" wrapText="1"/>
    </xf>
    <xf numFmtId="0" fontId="20" fillId="46" borderId="10" xfId="0" applyFont="1" applyFill="1" applyBorder="1" applyAlignment="1">
      <alignment horizontal="center" vertical="center"/>
    </xf>
    <xf numFmtId="11" fontId="20" fillId="46" borderId="10" xfId="0" applyNumberFormat="1" applyFont="1" applyFill="1" applyBorder="1" applyAlignment="1">
      <alignment horizontal="right" vertical="center" indent="1"/>
    </xf>
    <xf numFmtId="0" fontId="20" fillId="46" borderId="11" xfId="0" applyFont="1" applyFill="1" applyBorder="1" applyAlignment="1">
      <alignment horizontal="left" vertical="center"/>
    </xf>
    <xf numFmtId="0" fontId="18" fillId="47" borderId="10" xfId="0" applyFont="1" applyFill="1" applyBorder="1"/>
    <xf numFmtId="1" fontId="18" fillId="47" borderId="10" xfId="0" applyNumberFormat="1" applyFont="1" applyFill="1" applyBorder="1" applyAlignment="1">
      <alignment horizontal="right" indent="1"/>
    </xf>
    <xf numFmtId="9" fontId="18" fillId="47" borderId="10" xfId="1" applyFont="1" applyFill="1" applyBorder="1" applyAlignment="1" applyProtection="1">
      <alignment horizontal="right" indent="1"/>
    </xf>
    <xf numFmtId="0" fontId="18" fillId="47" borderId="11" xfId="0" applyFont="1" applyFill="1" applyBorder="1"/>
    <xf numFmtId="0" fontId="22" fillId="0" borderId="0" xfId="0" applyFont="1" applyAlignment="1">
      <alignment horizontal="center"/>
    </xf>
    <xf numFmtId="0" fontId="27" fillId="43" borderId="10" xfId="0" applyFont="1" applyFill="1" applyBorder="1" applyAlignment="1">
      <alignment vertical="center"/>
    </xf>
    <xf numFmtId="2" fontId="27" fillId="43" borderId="10" xfId="0" applyNumberFormat="1" applyFont="1" applyFill="1" applyBorder="1" applyAlignment="1">
      <alignment horizontal="right" indent="1"/>
    </xf>
    <xf numFmtId="0" fontId="27" fillId="43" borderId="11" xfId="0" applyFont="1" applyFill="1" applyBorder="1"/>
    <xf numFmtId="0" fontId="27" fillId="48" borderId="9" xfId="0" applyFont="1" applyFill="1" applyBorder="1" applyAlignment="1">
      <alignment vertical="center"/>
    </xf>
    <xf numFmtId="0" fontId="27" fillId="48" borderId="10" xfId="0" applyFont="1" applyFill="1" applyBorder="1" applyAlignment="1">
      <alignment horizontal="center" vertical="center"/>
    </xf>
    <xf numFmtId="2" fontId="27" fillId="49" borderId="16" xfId="0" applyNumberFormat="1" applyFont="1" applyFill="1" applyBorder="1" applyAlignment="1">
      <alignment horizontal="right" vertical="center" indent="1"/>
    </xf>
    <xf numFmtId="0" fontId="27" fillId="48" borderId="11" xfId="0" applyFont="1" applyFill="1" applyBorder="1" applyAlignment="1">
      <alignment vertical="center"/>
    </xf>
    <xf numFmtId="0" fontId="27" fillId="0" borderId="14" xfId="0" applyFont="1" applyBorder="1" applyAlignment="1">
      <alignment horizontal="center"/>
    </xf>
    <xf numFmtId="2" fontId="27" fillId="43" borderId="14" xfId="0" applyNumberFormat="1" applyFont="1" applyFill="1" applyBorder="1" applyAlignment="1">
      <alignment horizontal="right" indent="1"/>
    </xf>
    <xf numFmtId="0" fontId="27" fillId="0" borderId="15" xfId="0" applyFont="1" applyBorder="1" applyAlignment="1">
      <alignment horizontal="left"/>
    </xf>
    <xf numFmtId="0" fontId="27" fillId="0" borderId="16" xfId="0" applyFont="1" applyBorder="1" applyAlignment="1">
      <alignment vertical="center" wrapText="1"/>
    </xf>
    <xf numFmtId="0" fontId="27" fillId="0" borderId="16" xfId="0" applyFont="1" applyBorder="1" applyAlignment="1">
      <alignment horizontal="center"/>
    </xf>
    <xf numFmtId="2" fontId="27" fillId="43" borderId="16" xfId="0" applyNumberFormat="1" applyFont="1" applyFill="1" applyBorder="1" applyAlignment="1">
      <alignment horizontal="right" indent="1"/>
    </xf>
    <xf numFmtId="0" fontId="27" fillId="0" borderId="18" xfId="0" applyFont="1" applyBorder="1" applyAlignment="1">
      <alignment horizontal="left"/>
    </xf>
    <xf numFmtId="2" fontId="27" fillId="27" borderId="16" xfId="0" applyNumberFormat="1" applyFont="1" applyFill="1" applyBorder="1" applyAlignment="1">
      <alignment horizontal="right" vertical="center" indent="1"/>
    </xf>
    <xf numFmtId="0" fontId="27" fillId="27" borderId="11" xfId="0" applyFont="1" applyFill="1" applyBorder="1"/>
    <xf numFmtId="0" fontId="27" fillId="0" borderId="9" xfId="0" applyFont="1" applyBorder="1" applyAlignment="1">
      <alignment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vertical="center"/>
    </xf>
    <xf numFmtId="0" fontId="27" fillId="27" borderId="9" xfId="0" applyFont="1" applyFill="1" applyBorder="1"/>
    <xf numFmtId="0" fontId="27" fillId="27" borderId="10" xfId="0" applyFont="1" applyFill="1" applyBorder="1" applyAlignment="1">
      <alignment horizontal="center"/>
    </xf>
    <xf numFmtId="182" fontId="27" fillId="27" borderId="16" xfId="0" applyNumberFormat="1" applyFont="1" applyFill="1" applyBorder="1" applyAlignment="1">
      <alignment horizontal="right" vertical="center" indent="1"/>
    </xf>
    <xf numFmtId="0" fontId="27" fillId="34" borderId="9" xfId="0" applyFont="1" applyFill="1" applyBorder="1" applyAlignment="1">
      <alignment vertical="center" wrapText="1"/>
    </xf>
    <xf numFmtId="0" fontId="27" fillId="34" borderId="10" xfId="0" applyFont="1" applyFill="1" applyBorder="1" applyAlignment="1">
      <alignment horizontal="center"/>
    </xf>
    <xf numFmtId="0" fontId="27" fillId="34" borderId="11" xfId="0" applyFont="1" applyFill="1" applyBorder="1"/>
    <xf numFmtId="2" fontId="27" fillId="34" borderId="10" xfId="0" applyNumberFormat="1" applyFont="1" applyFill="1" applyBorder="1" applyAlignment="1">
      <alignment horizontal="right" indent="1"/>
    </xf>
    <xf numFmtId="0" fontId="27" fillId="34" borderId="10" xfId="0" applyFont="1" applyFill="1" applyBorder="1" applyAlignment="1">
      <alignment horizontal="center" vertical="center"/>
    </xf>
    <xf numFmtId="2" fontId="27" fillId="34" borderId="10" xfId="0" applyNumberFormat="1" applyFont="1" applyFill="1" applyBorder="1" applyAlignment="1">
      <alignment horizontal="right" vertical="center" indent="1"/>
    </xf>
    <xf numFmtId="0" fontId="27" fillId="34" borderId="11" xfId="0" applyFont="1" applyFill="1" applyBorder="1" applyAlignment="1">
      <alignment vertical="center"/>
    </xf>
    <xf numFmtId="2" fontId="27" fillId="0" borderId="16" xfId="0" applyNumberFormat="1" applyFont="1" applyBorder="1" applyAlignment="1">
      <alignment horizontal="right" vertical="center" indent="1"/>
    </xf>
    <xf numFmtId="2" fontId="27" fillId="0" borderId="19" xfId="0" applyNumberFormat="1" applyFont="1" applyBorder="1" applyAlignment="1">
      <alignment horizontal="right" vertical="center" indent="1"/>
    </xf>
    <xf numFmtId="0" fontId="29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2" fontId="0" fillId="0" borderId="0" xfId="0" applyNumberFormat="1"/>
    <xf numFmtId="0" fontId="18" fillId="47" borderId="9" xfId="0" applyFont="1" applyFill="1" applyBorder="1"/>
    <xf numFmtId="0" fontId="20" fillId="47" borderId="10" xfId="0" applyFont="1" applyFill="1" applyBorder="1" applyAlignment="1">
      <alignment horizontal="center"/>
    </xf>
    <xf numFmtId="1" fontId="18" fillId="50" borderId="10" xfId="0" applyNumberFormat="1" applyFont="1" applyFill="1" applyBorder="1" applyAlignment="1">
      <alignment horizontal="center"/>
    </xf>
    <xf numFmtId="2" fontId="18" fillId="50" borderId="10" xfId="0" applyNumberFormat="1" applyFont="1" applyFill="1" applyBorder="1" applyAlignment="1">
      <alignment horizontal="right" indent="1"/>
    </xf>
    <xf numFmtId="0" fontId="18" fillId="50" borderId="11" xfId="0" applyFont="1" applyFill="1" applyBorder="1"/>
    <xf numFmtId="0" fontId="20" fillId="0" borderId="9" xfId="0" applyFont="1" applyBorder="1" applyAlignment="1">
      <alignment horizontal="left"/>
    </xf>
    <xf numFmtId="0" fontId="0" fillId="0" borderId="0" xfId="0" applyAlignment="1">
      <alignment horizontal="right"/>
    </xf>
    <xf numFmtId="186" fontId="27" fillId="0" borderId="10" xfId="0" applyNumberFormat="1" applyFont="1" applyBorder="1" applyAlignment="1">
      <alignment horizontal="center" vertical="center"/>
    </xf>
    <xf numFmtId="2" fontId="27" fillId="0" borderId="11" xfId="0" applyNumberFormat="1" applyFont="1" applyBorder="1"/>
    <xf numFmtId="0" fontId="47" fillId="0" borderId="19" xfId="0" applyFont="1" applyBorder="1" applyAlignment="1">
      <alignment horizontal="right"/>
    </xf>
    <xf numFmtId="2" fontId="47" fillId="0" borderId="9" xfId="0" applyNumberFormat="1" applyFont="1" applyBorder="1"/>
    <xf numFmtId="0" fontId="47" fillId="0" borderId="11" xfId="0" applyFont="1" applyBorder="1"/>
    <xf numFmtId="0" fontId="47" fillId="0" borderId="0" xfId="0" applyFont="1"/>
    <xf numFmtId="0" fontId="48" fillId="0" borderId="22" xfId="0" applyFont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19" xfId="0" applyFont="1" applyBorder="1" applyAlignment="1">
      <alignment horizontal="center"/>
    </xf>
    <xf numFmtId="2" fontId="48" fillId="0" borderId="19" xfId="0" applyNumberFormat="1" applyFont="1" applyBorder="1" applyAlignment="1">
      <alignment horizontal="center"/>
    </xf>
    <xf numFmtId="1" fontId="48" fillId="0" borderId="19" xfId="0" applyNumberFormat="1" applyFont="1" applyBorder="1" applyAlignment="1">
      <alignment horizontal="center"/>
    </xf>
    <xf numFmtId="0" fontId="48" fillId="0" borderId="9" xfId="0" applyFont="1" applyBorder="1" applyAlignment="1">
      <alignment horizontal="right" vertical="center" wrapText="1"/>
    </xf>
    <xf numFmtId="0" fontId="49" fillId="0" borderId="19" xfId="0" applyFont="1" applyBorder="1" applyAlignment="1">
      <alignment horizontal="center" vertical="center" wrapText="1"/>
    </xf>
    <xf numFmtId="1" fontId="49" fillId="24" borderId="19" xfId="0" applyNumberFormat="1" applyFont="1" applyFill="1" applyBorder="1" applyAlignment="1">
      <alignment horizontal="center" vertical="center" wrapText="1"/>
    </xf>
    <xf numFmtId="0" fontId="48" fillId="0" borderId="19" xfId="0" applyFont="1" applyBorder="1" applyAlignment="1">
      <alignment horizontal="center" vertical="center" wrapText="1"/>
    </xf>
    <xf numFmtId="1" fontId="48" fillId="24" borderId="19" xfId="0" applyNumberFormat="1" applyFont="1" applyFill="1" applyBorder="1" applyAlignment="1">
      <alignment horizontal="center" vertical="center" wrapText="1"/>
    </xf>
    <xf numFmtId="2" fontId="48" fillId="24" borderId="19" xfId="0" applyNumberFormat="1" applyFont="1" applyFill="1" applyBorder="1" applyAlignment="1">
      <alignment horizontal="center" vertical="center" wrapText="1"/>
    </xf>
    <xf numFmtId="3" fontId="48" fillId="0" borderId="19" xfId="0" applyNumberFormat="1" applyFont="1" applyBorder="1" applyAlignment="1">
      <alignment horizontal="center" vertical="center" wrapText="1"/>
    </xf>
    <xf numFmtId="4" fontId="48" fillId="0" borderId="19" xfId="0" applyNumberFormat="1" applyFont="1" applyBorder="1" applyAlignment="1">
      <alignment horizontal="center" vertical="center" wrapText="1"/>
    </xf>
    <xf numFmtId="9" fontId="48" fillId="0" borderId="9" xfId="1172" applyFont="1" applyBorder="1" applyAlignment="1" applyProtection="1">
      <alignment horizontal="right" vertical="center" wrapText="1"/>
    </xf>
    <xf numFmtId="9" fontId="48" fillId="0" borderId="19" xfId="1" applyFont="1" applyBorder="1" applyAlignment="1" applyProtection="1">
      <alignment horizontal="center" vertical="center" wrapText="1"/>
    </xf>
    <xf numFmtId="9" fontId="48" fillId="0" borderId="19" xfId="1172" applyFont="1" applyBorder="1" applyAlignment="1" applyProtection="1">
      <alignment horizontal="center" vertical="center" wrapText="1"/>
    </xf>
    <xf numFmtId="9" fontId="48" fillId="0" borderId="19" xfId="1" applyFont="1" applyBorder="1" applyAlignment="1">
      <alignment horizontal="center" vertical="center" wrapText="1"/>
    </xf>
    <xf numFmtId="9" fontId="48" fillId="24" borderId="19" xfId="1172" applyFont="1" applyFill="1" applyBorder="1" applyAlignment="1" applyProtection="1">
      <alignment horizontal="center" vertical="center" wrapText="1"/>
    </xf>
    <xf numFmtId="0" fontId="26" fillId="0" borderId="19" xfId="0" applyFont="1" applyBorder="1" applyAlignment="1">
      <alignment horizontal="right"/>
    </xf>
    <xf numFmtId="0" fontId="22" fillId="0" borderId="9" xfId="0" applyFont="1" applyBorder="1" applyAlignment="1">
      <alignment horizontal="left"/>
    </xf>
    <xf numFmtId="169" fontId="20" fillId="0" borderId="10" xfId="0" applyNumberFormat="1" applyFont="1" applyBorder="1" applyAlignment="1">
      <alignment horizontal="right" indent="1"/>
    </xf>
    <xf numFmtId="0" fontId="0" fillId="0" borderId="11" xfId="0" applyBorder="1"/>
    <xf numFmtId="0" fontId="20" fillId="0" borderId="19" xfId="0" applyFont="1" applyBorder="1" applyAlignment="1">
      <alignment horizontal="left"/>
    </xf>
    <xf numFmtId="0" fontId="39" fillId="0" borderId="19" xfId="0" applyFont="1" applyBorder="1" applyAlignment="1">
      <alignment horizontal="center" vertical="center" wrapText="1"/>
    </xf>
    <xf numFmtId="180" fontId="39" fillId="0" borderId="19" xfId="0" applyNumberFormat="1" applyFont="1" applyBorder="1" applyAlignment="1">
      <alignment horizontal="center" vertical="center" wrapText="1"/>
    </xf>
    <xf numFmtId="0" fontId="27" fillId="31" borderId="19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20" fillId="0" borderId="9" xfId="0" applyFont="1" applyBorder="1" applyAlignment="1">
      <alignment vertical="center" wrapText="1"/>
    </xf>
    <xf numFmtId="0" fontId="20" fillId="0" borderId="11" xfId="0" applyFont="1" applyBorder="1"/>
    <xf numFmtId="0" fontId="20" fillId="0" borderId="11" xfId="0" applyFont="1" applyBorder="1" applyAlignment="1">
      <alignment horizontal="left"/>
    </xf>
    <xf numFmtId="0" fontId="20" fillId="0" borderId="9" xfId="0" applyFont="1" applyBorder="1" applyAlignment="1">
      <alignment horizontal="left" vertical="center"/>
    </xf>
    <xf numFmtId="10" fontId="27" fillId="0" borderId="9" xfId="0" applyNumberFormat="1" applyFont="1" applyBorder="1"/>
    <xf numFmtId="186" fontId="27" fillId="0" borderId="10" xfId="0" applyNumberFormat="1" applyFont="1" applyBorder="1"/>
    <xf numFmtId="0" fontId="30" fillId="0" borderId="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/>
    </xf>
    <xf numFmtId="1" fontId="20" fillId="0" borderId="19" xfId="0" applyNumberFormat="1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27" fillId="27" borderId="17" xfId="0" applyFont="1" applyFill="1" applyBorder="1" applyAlignment="1">
      <alignment vertical="center"/>
    </xf>
    <xf numFmtId="0" fontId="27" fillId="27" borderId="16" xfId="0" applyFont="1" applyFill="1" applyBorder="1" applyAlignment="1">
      <alignment horizontal="center" vertical="center"/>
    </xf>
    <xf numFmtId="0" fontId="27" fillId="27" borderId="18" xfId="0" applyFont="1" applyFill="1" applyBorder="1"/>
    <xf numFmtId="1" fontId="18" fillId="0" borderId="10" xfId="0" applyNumberFormat="1" applyFont="1" applyBorder="1" applyAlignment="1">
      <alignment horizontal="center"/>
    </xf>
    <xf numFmtId="0" fontId="27" fillId="51" borderId="9" xfId="0" applyFont="1" applyFill="1" applyBorder="1"/>
    <xf numFmtId="1" fontId="27" fillId="52" borderId="10" xfId="0" applyNumberFormat="1" applyFont="1" applyFill="1" applyBorder="1" applyAlignment="1">
      <alignment horizontal="center"/>
    </xf>
    <xf numFmtId="2" fontId="27" fillId="52" borderId="10" xfId="0" applyNumberFormat="1" applyFont="1" applyFill="1" applyBorder="1" applyAlignment="1">
      <alignment horizontal="right" indent="1"/>
    </xf>
    <xf numFmtId="0" fontId="27" fillId="52" borderId="11" xfId="0" applyFont="1" applyFill="1" applyBorder="1"/>
    <xf numFmtId="186" fontId="27" fillId="0" borderId="10" xfId="0" applyNumberFormat="1" applyFont="1" applyBorder="1" applyAlignment="1">
      <alignment horizontal="center"/>
    </xf>
    <xf numFmtId="0" fontId="18" fillId="46" borderId="14" xfId="0" applyFont="1" applyFill="1" applyBorder="1" applyAlignment="1">
      <alignment horizontal="center"/>
    </xf>
    <xf numFmtId="2" fontId="18" fillId="46" borderId="15" xfId="0" applyNumberFormat="1" applyFont="1" applyFill="1" applyBorder="1" applyAlignment="1">
      <alignment horizontal="left"/>
    </xf>
    <xf numFmtId="0" fontId="18" fillId="46" borderId="10" xfId="0" applyFont="1" applyFill="1" applyBorder="1" applyAlignment="1">
      <alignment horizontal="center"/>
    </xf>
    <xf numFmtId="9" fontId="20" fillId="46" borderId="10" xfId="0" applyNumberFormat="1" applyFont="1" applyFill="1" applyBorder="1" applyAlignment="1">
      <alignment horizontal="right" vertical="center" indent="1"/>
    </xf>
    <xf numFmtId="0" fontId="27" fillId="0" borderId="0" xfId="0" applyFont="1" applyAlignment="1">
      <alignment horizontal="right"/>
    </xf>
    <xf numFmtId="0" fontId="18" fillId="46" borderId="13" xfId="0" applyFont="1" applyFill="1" applyBorder="1" applyAlignment="1">
      <alignment vertical="center"/>
    </xf>
    <xf numFmtId="0" fontId="20" fillId="33" borderId="9" xfId="0" applyFont="1" applyFill="1" applyBorder="1" applyAlignment="1">
      <alignment vertical="center"/>
    </xf>
    <xf numFmtId="1" fontId="20" fillId="46" borderId="14" xfId="0" applyNumberFormat="1" applyFont="1" applyFill="1" applyBorder="1" applyAlignment="1">
      <alignment horizontal="right" vertical="center" indent="1"/>
    </xf>
    <xf numFmtId="0" fontId="20" fillId="39" borderId="9" xfId="0" applyFont="1" applyFill="1" applyBorder="1" applyAlignment="1">
      <alignment horizontal="left" vertical="center"/>
    </xf>
    <xf numFmtId="0" fontId="18" fillId="39" borderId="10" xfId="0" applyFont="1" applyFill="1" applyBorder="1" applyAlignment="1">
      <alignment vertical="center"/>
    </xf>
    <xf numFmtId="2" fontId="20" fillId="40" borderId="10" xfId="0" applyNumberFormat="1" applyFont="1" applyFill="1" applyBorder="1" applyAlignment="1">
      <alignment horizontal="right" indent="1"/>
    </xf>
    <xf numFmtId="0" fontId="18" fillId="40" borderId="11" xfId="0" applyFont="1" applyFill="1" applyBorder="1"/>
    <xf numFmtId="2" fontId="18" fillId="33" borderId="10" xfId="0" applyNumberFormat="1" applyFont="1" applyFill="1" applyBorder="1" applyAlignment="1">
      <alignment horizontal="right" indent="1"/>
    </xf>
    <xf numFmtId="0" fontId="18" fillId="48" borderId="11" xfId="0" applyFont="1" applyFill="1" applyBorder="1"/>
    <xf numFmtId="0" fontId="20" fillId="28" borderId="9" xfId="0" applyFont="1" applyFill="1" applyBorder="1" applyAlignment="1">
      <alignment vertical="center" wrapText="1"/>
    </xf>
    <xf numFmtId="4" fontId="20" fillId="28" borderId="10" xfId="0" applyNumberFormat="1" applyFont="1" applyFill="1" applyBorder="1" applyAlignment="1">
      <alignment horizontal="right" indent="1"/>
    </xf>
    <xf numFmtId="0" fontId="20" fillId="28" borderId="11" xfId="0" applyFont="1" applyFill="1" applyBorder="1"/>
    <xf numFmtId="0" fontId="20" fillId="0" borderId="9" xfId="0" applyFont="1" applyBorder="1" applyAlignment="1">
      <alignment vertical="center"/>
    </xf>
    <xf numFmtId="184" fontId="27" fillId="31" borderId="10" xfId="0" applyNumberFormat="1" applyFont="1" applyFill="1" applyBorder="1" applyAlignment="1">
      <alignment horizontal="right" indent="1"/>
    </xf>
    <xf numFmtId="0" fontId="20" fillId="53" borderId="9" xfId="0" applyFont="1" applyFill="1" applyBorder="1" applyAlignment="1">
      <alignment vertical="center" wrapText="1"/>
    </xf>
    <xf numFmtId="0" fontId="20" fillId="53" borderId="11" xfId="0" applyFont="1" applyFill="1" applyBorder="1"/>
    <xf numFmtId="0" fontId="20" fillId="53" borderId="10" xfId="0" applyFont="1" applyFill="1" applyBorder="1" applyAlignment="1">
      <alignment horizontal="center" wrapText="1"/>
    </xf>
    <xf numFmtId="3" fontId="20" fillId="53" borderId="10" xfId="0" applyNumberFormat="1" applyFont="1" applyFill="1" applyBorder="1" applyAlignment="1">
      <alignment horizontal="right" vertical="center" indent="1"/>
    </xf>
    <xf numFmtId="2" fontId="18" fillId="47" borderId="10" xfId="0" applyNumberFormat="1" applyFont="1" applyFill="1" applyBorder="1" applyAlignment="1">
      <alignment horizontal="right" indent="1"/>
    </xf>
    <xf numFmtId="0" fontId="18" fillId="28" borderId="9" xfId="0" applyFont="1" applyFill="1" applyBorder="1"/>
    <xf numFmtId="0" fontId="20" fillId="54" borderId="9" xfId="0" applyFont="1" applyFill="1" applyBorder="1" applyAlignment="1">
      <alignment vertical="center" wrapText="1"/>
    </xf>
    <xf numFmtId="189" fontId="20" fillId="54" borderId="10" xfId="1" applyNumberFormat="1" applyFont="1" applyFill="1" applyBorder="1" applyAlignment="1">
      <alignment horizontal="right" vertical="center"/>
    </xf>
    <xf numFmtId="0" fontId="20" fillId="54" borderId="11" xfId="0" applyFont="1" applyFill="1" applyBorder="1" applyAlignment="1">
      <alignment vertical="center"/>
    </xf>
    <xf numFmtId="0" fontId="20" fillId="54" borderId="10" xfId="0" applyFont="1" applyFill="1" applyBorder="1" applyAlignment="1">
      <alignment horizontal="center"/>
    </xf>
    <xf numFmtId="3" fontId="20" fillId="54" borderId="10" xfId="0" applyNumberFormat="1" applyFont="1" applyFill="1" applyBorder="1" applyAlignment="1">
      <alignment horizontal="right" indent="1"/>
    </xf>
    <xf numFmtId="0" fontId="20" fillId="54" borderId="11" xfId="0" applyFont="1" applyFill="1" applyBorder="1"/>
    <xf numFmtId="0" fontId="20" fillId="55" borderId="9" xfId="0" applyFont="1" applyFill="1" applyBorder="1" applyAlignment="1">
      <alignment vertical="center" wrapText="1"/>
    </xf>
    <xf numFmtId="0" fontId="20" fillId="55" borderId="11" xfId="0" applyFont="1" applyFill="1" applyBorder="1"/>
    <xf numFmtId="0" fontId="19" fillId="33" borderId="10" xfId="0" applyFont="1" applyFill="1" applyBorder="1"/>
    <xf numFmtId="0" fontId="27" fillId="31" borderId="17" xfId="0" applyFont="1" applyFill="1" applyBorder="1"/>
    <xf numFmtId="186" fontId="27" fillId="31" borderId="16" xfId="0" applyNumberFormat="1" applyFont="1" applyFill="1" applyBorder="1" applyAlignment="1">
      <alignment horizontal="center"/>
    </xf>
    <xf numFmtId="184" fontId="27" fillId="31" borderId="16" xfId="0" applyNumberFormat="1" applyFont="1" applyFill="1" applyBorder="1" applyAlignment="1">
      <alignment horizontal="right" indent="1"/>
    </xf>
    <xf numFmtId="2" fontId="27" fillId="31" borderId="18" xfId="0" applyNumberFormat="1" applyFont="1" applyFill="1" applyBorder="1"/>
    <xf numFmtId="0" fontId="27" fillId="31" borderId="13" xfId="0" applyFont="1" applyFill="1" applyBorder="1"/>
    <xf numFmtId="186" fontId="27" fillId="31" borderId="14" xfId="0" applyNumberFormat="1" applyFont="1" applyFill="1" applyBorder="1" applyAlignment="1">
      <alignment horizontal="center"/>
    </xf>
    <xf numFmtId="184" fontId="27" fillId="31" borderId="14" xfId="0" applyNumberFormat="1" applyFont="1" applyFill="1" applyBorder="1" applyAlignment="1">
      <alignment horizontal="right" indent="1"/>
    </xf>
    <xf numFmtId="2" fontId="27" fillId="31" borderId="15" xfId="0" applyNumberFormat="1" applyFont="1" applyFill="1" applyBorder="1"/>
    <xf numFmtId="0" fontId="19" fillId="0" borderId="10" xfId="0" applyFont="1" applyBorder="1" applyAlignment="1">
      <alignment horizontal="center" vertical="center"/>
    </xf>
    <xf numFmtId="180" fontId="27" fillId="0" borderId="10" xfId="0" applyNumberFormat="1" applyFont="1" applyBorder="1" applyAlignment="1">
      <alignment horizontal="right" indent="1"/>
    </xf>
    <xf numFmtId="2" fontId="20" fillId="46" borderId="10" xfId="0" applyNumberFormat="1" applyFont="1" applyFill="1" applyBorder="1" applyAlignment="1">
      <alignment horizontal="right" vertical="center" indent="1"/>
    </xf>
    <xf numFmtId="10" fontId="26" fillId="0" borderId="10" xfId="1" applyNumberFormat="1" applyFont="1" applyBorder="1" applyAlignment="1">
      <alignment horizontal="center"/>
    </xf>
    <xf numFmtId="0" fontId="19" fillId="0" borderId="10" xfId="0" applyFont="1" applyBorder="1"/>
    <xf numFmtId="10" fontId="26" fillId="0" borderId="10" xfId="0" applyNumberFormat="1" applyFont="1" applyBorder="1" applyAlignment="1">
      <alignment horizontal="center" vertical="center"/>
    </xf>
    <xf numFmtId="3" fontId="27" fillId="31" borderId="10" xfId="0" applyNumberFormat="1" applyFont="1" applyFill="1" applyBorder="1" applyAlignment="1">
      <alignment horizontal="right" indent="1"/>
    </xf>
    <xf numFmtId="0" fontId="19" fillId="0" borderId="10" xfId="0" applyFont="1" applyBorder="1" applyAlignment="1">
      <alignment vertical="center"/>
    </xf>
    <xf numFmtId="43" fontId="20" fillId="28" borderId="14" xfId="1349" applyFont="1" applyFill="1" applyBorder="1" applyAlignment="1">
      <alignment horizontal="right" vertical="center" indent="1"/>
    </xf>
    <xf numFmtId="0" fontId="18" fillId="28" borderId="15" xfId="0" applyFont="1" applyFill="1" applyBorder="1"/>
    <xf numFmtId="43" fontId="18" fillId="28" borderId="16" xfId="1349" applyFont="1" applyFill="1" applyBorder="1" applyAlignment="1">
      <alignment horizontal="center"/>
    </xf>
    <xf numFmtId="43" fontId="20" fillId="28" borderId="16" xfId="1349" applyFont="1" applyFill="1" applyBorder="1" applyAlignment="1">
      <alignment horizontal="right" vertical="center" indent="1"/>
    </xf>
    <xf numFmtId="0" fontId="18" fillId="28" borderId="18" xfId="0" applyFont="1" applyFill="1" applyBorder="1"/>
    <xf numFmtId="189" fontId="26" fillId="28" borderId="10" xfId="0" applyNumberFormat="1" applyFont="1" applyFill="1" applyBorder="1" applyAlignment="1">
      <alignment horizontal="center" vertical="center"/>
    </xf>
    <xf numFmtId="184" fontId="27" fillId="0" borderId="10" xfId="0" applyNumberFormat="1" applyFont="1" applyBorder="1" applyAlignment="1">
      <alignment horizontal="right" indent="1"/>
    </xf>
    <xf numFmtId="0" fontId="19" fillId="29" borderId="10" xfId="0" applyFont="1" applyFill="1" applyBorder="1" applyAlignment="1">
      <alignment horizontal="center"/>
    </xf>
    <xf numFmtId="1" fontId="20" fillId="29" borderId="10" xfId="0" applyNumberFormat="1" applyFont="1" applyFill="1" applyBorder="1" applyAlignment="1">
      <alignment horizontal="right" vertical="center" indent="1"/>
    </xf>
    <xf numFmtId="0" fontId="18" fillId="29" borderId="11" xfId="0" applyFont="1" applyFill="1" applyBorder="1"/>
    <xf numFmtId="0" fontId="20" fillId="46" borderId="10" xfId="0" applyFont="1" applyFill="1" applyBorder="1" applyAlignment="1">
      <alignment horizontal="center"/>
    </xf>
    <xf numFmtId="0" fontId="48" fillId="0" borderId="19" xfId="0" applyFont="1" applyBorder="1" applyAlignment="1">
      <alignment horizontal="right" vertical="center"/>
    </xf>
    <xf numFmtId="1" fontId="27" fillId="31" borderId="10" xfId="0" applyNumberFormat="1" applyFont="1" applyFill="1" applyBorder="1" applyAlignment="1">
      <alignment horizontal="right" indent="1"/>
    </xf>
    <xf numFmtId="3" fontId="18" fillId="0" borderId="0" xfId="0" applyNumberFormat="1" applyFont="1" applyAlignment="1">
      <alignment horizontal="right" indent="1"/>
    </xf>
    <xf numFmtId="189" fontId="18" fillId="28" borderId="14" xfId="1349" applyNumberFormat="1" applyFont="1" applyFill="1" applyBorder="1" applyAlignment="1">
      <alignment horizontal="center"/>
    </xf>
    <xf numFmtId="1" fontId="20" fillId="29" borderId="9" xfId="0" applyNumberFormat="1" applyFont="1" applyFill="1" applyBorder="1"/>
    <xf numFmtId="0" fontId="46" fillId="0" borderId="0" xfId="0" applyFont="1" applyAlignment="1">
      <alignment horizontal="center"/>
    </xf>
    <xf numFmtId="0" fontId="20" fillId="28" borderId="13" xfId="0" applyFont="1" applyFill="1" applyBorder="1" applyAlignment="1">
      <alignment vertical="center"/>
    </xf>
    <xf numFmtId="180" fontId="27" fillId="28" borderId="14" xfId="0" applyNumberFormat="1" applyFont="1" applyFill="1" applyBorder="1" applyAlignment="1">
      <alignment horizontal="right" indent="1"/>
    </xf>
    <xf numFmtId="0" fontId="20" fillId="28" borderId="17" xfId="0" applyFont="1" applyFill="1" applyBorder="1" applyAlignment="1">
      <alignment vertical="center"/>
    </xf>
    <xf numFmtId="189" fontId="18" fillId="28" borderId="16" xfId="1349" applyNumberFormat="1" applyFont="1" applyFill="1" applyBorder="1" applyAlignment="1">
      <alignment horizontal="center"/>
    </xf>
    <xf numFmtId="180" fontId="27" fillId="28" borderId="16" xfId="0" applyNumberFormat="1" applyFont="1" applyFill="1" applyBorder="1" applyAlignment="1">
      <alignment horizontal="right" indent="1"/>
    </xf>
    <xf numFmtId="0" fontId="50" fillId="0" borderId="9" xfId="0" applyFont="1" applyBorder="1"/>
    <xf numFmtId="1" fontId="50" fillId="0" borderId="10" xfId="0" applyNumberFormat="1" applyFont="1" applyBorder="1" applyAlignment="1">
      <alignment horizontal="center"/>
    </xf>
    <xf numFmtId="2" fontId="50" fillId="0" borderId="10" xfId="0" applyNumberFormat="1" applyFont="1" applyBorder="1" applyAlignment="1">
      <alignment horizontal="right" indent="1"/>
    </xf>
    <xf numFmtId="0" fontId="50" fillId="0" borderId="11" xfId="0" applyFont="1" applyBorder="1"/>
    <xf numFmtId="2" fontId="27" fillId="0" borderId="16" xfId="0" applyNumberFormat="1" applyFont="1" applyBorder="1" applyAlignment="1">
      <alignment horizontal="right" indent="1"/>
    </xf>
    <xf numFmtId="182" fontId="20" fillId="0" borderId="16" xfId="0" applyNumberFormat="1" applyFont="1" applyBorder="1" applyAlignment="1">
      <alignment horizontal="right" vertical="center" indent="1"/>
    </xf>
    <xf numFmtId="184" fontId="20" fillId="0" borderId="10" xfId="0" applyNumberFormat="1" applyFont="1" applyBorder="1" applyAlignment="1">
      <alignment horizontal="right" indent="1"/>
    </xf>
    <xf numFmtId="182" fontId="27" fillId="0" borderId="10" xfId="0" applyNumberFormat="1" applyFont="1" applyBorder="1" applyAlignment="1">
      <alignment horizontal="right" vertical="center" indent="1"/>
    </xf>
    <xf numFmtId="2" fontId="27" fillId="0" borderId="11" xfId="0" applyNumberFormat="1" applyFont="1" applyBorder="1" applyAlignment="1">
      <alignment horizontal="right" indent="1"/>
    </xf>
    <xf numFmtId="0" fontId="18" fillId="0" borderId="16" xfId="0" applyFont="1" applyBorder="1"/>
    <xf numFmtId="9" fontId="18" fillId="0" borderId="16" xfId="0" applyNumberFormat="1" applyFont="1" applyBorder="1" applyAlignment="1">
      <alignment horizontal="right" indent="1"/>
    </xf>
    <xf numFmtId="2" fontId="39" fillId="0" borderId="19" xfId="0" applyNumberFormat="1" applyFont="1" applyBorder="1" applyAlignment="1">
      <alignment horizontal="center" vertical="center" wrapText="1"/>
    </xf>
    <xf numFmtId="2" fontId="27" fillId="0" borderId="0" xfId="0" applyNumberFormat="1" applyFont="1" applyAlignment="1">
      <alignment vertical="center" wrapText="1"/>
    </xf>
    <xf numFmtId="2" fontId="27" fillId="0" borderId="0" xfId="0" applyNumberFormat="1" applyFont="1" applyAlignment="1">
      <alignment wrapText="1"/>
    </xf>
    <xf numFmtId="2" fontId="27" fillId="0" borderId="0" xfId="1" applyNumberFormat="1" applyFont="1" applyBorder="1" applyAlignment="1" applyProtection="1">
      <alignment vertical="center" wrapText="1"/>
    </xf>
    <xf numFmtId="2" fontId="27" fillId="0" borderId="0" xfId="0" applyNumberFormat="1" applyFont="1" applyAlignment="1">
      <alignment vertical="center"/>
    </xf>
    <xf numFmtId="2" fontId="30" fillId="0" borderId="0" xfId="0" applyNumberFormat="1" applyFont="1"/>
    <xf numFmtId="2" fontId="27" fillId="0" borderId="22" xfId="0" applyNumberFormat="1" applyFont="1" applyBorder="1" applyAlignment="1">
      <alignment horizontal="right" indent="1"/>
    </xf>
    <xf numFmtId="0" fontId="27" fillId="0" borderId="0" xfId="0" applyFont="1" applyAlignment="1">
      <alignment horizontal="right" indent="1"/>
    </xf>
    <xf numFmtId="0" fontId="39" fillId="0" borderId="10" xfId="0" applyFont="1" applyBorder="1" applyAlignment="1">
      <alignment horizontal="center" vertical="center" wrapText="1"/>
    </xf>
    <xf numFmtId="1" fontId="20" fillId="0" borderId="10" xfId="0" applyNumberFormat="1" applyFont="1" applyBorder="1" applyAlignment="1">
      <alignment horizontal="right" vertical="center" indent="1"/>
    </xf>
    <xf numFmtId="1" fontId="20" fillId="0" borderId="14" xfId="0" applyNumberFormat="1" applyFont="1" applyBorder="1" applyAlignment="1">
      <alignment horizontal="right" vertical="center" indent="1"/>
    </xf>
    <xf numFmtId="9" fontId="20" fillId="0" borderId="10" xfId="0" applyNumberFormat="1" applyFont="1" applyBorder="1" applyAlignment="1">
      <alignment horizontal="right" vertical="center" indent="1"/>
    </xf>
    <xf numFmtId="43" fontId="20" fillId="0" borderId="16" xfId="1349" applyFont="1" applyFill="1" applyBorder="1" applyAlignment="1">
      <alignment horizontal="right" vertical="center" indent="1"/>
    </xf>
    <xf numFmtId="180" fontId="27" fillId="0" borderId="16" xfId="0" applyNumberFormat="1" applyFont="1" applyBorder="1" applyAlignment="1">
      <alignment horizontal="right" indent="1"/>
    </xf>
    <xf numFmtId="11" fontId="20" fillId="0" borderId="10" xfId="0" applyNumberFormat="1" applyFont="1" applyBorder="1" applyAlignment="1">
      <alignment horizontal="right" vertical="center" indent="1"/>
    </xf>
    <xf numFmtId="184" fontId="27" fillId="0" borderId="16" xfId="0" applyNumberFormat="1" applyFont="1" applyBorder="1" applyAlignment="1">
      <alignment horizontal="right" indent="1"/>
    </xf>
    <xf numFmtId="3" fontId="27" fillId="0" borderId="0" xfId="0" applyNumberFormat="1" applyFont="1"/>
    <xf numFmtId="0" fontId="27" fillId="0" borderId="0" xfId="0" applyFont="1" applyAlignment="1">
      <alignment horizontal="center" vertical="center" wrapText="1"/>
    </xf>
    <xf numFmtId="1" fontId="27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left"/>
    </xf>
    <xf numFmtId="0" fontId="27" fillId="0" borderId="0" xfId="0" applyFont="1" applyAlignment="1">
      <alignment wrapText="1"/>
    </xf>
    <xf numFmtId="3" fontId="27" fillId="0" borderId="0" xfId="0" applyNumberFormat="1" applyFont="1" applyAlignment="1">
      <alignment horizontal="center" vertical="center" wrapText="1"/>
    </xf>
    <xf numFmtId="9" fontId="27" fillId="0" borderId="0" xfId="1" applyFont="1" applyBorder="1" applyAlignment="1" applyProtection="1">
      <alignment horizontal="center" vertical="center" wrapText="1"/>
    </xf>
    <xf numFmtId="4" fontId="27" fillId="0" borderId="0" xfId="0" applyNumberFormat="1" applyFont="1" applyAlignment="1">
      <alignment horizontal="right" indent="1"/>
    </xf>
    <xf numFmtId="3" fontId="27" fillId="0" borderId="0" xfId="0" applyNumberFormat="1" applyFont="1" applyAlignment="1">
      <alignment horizontal="right" indent="1"/>
    </xf>
    <xf numFmtId="0" fontId="27" fillId="0" borderId="0" xfId="0" applyFont="1" applyAlignment="1">
      <alignment horizontal="right" vertical="center" indent="1"/>
    </xf>
    <xf numFmtId="164" fontId="27" fillId="0" borderId="0" xfId="0" applyNumberFormat="1" applyFont="1" applyAlignment="1">
      <alignment horizontal="right" indent="1"/>
    </xf>
    <xf numFmtId="0" fontId="21" fillId="0" borderId="19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/>
    </xf>
    <xf numFmtId="1" fontId="20" fillId="0" borderId="19" xfId="0" applyNumberFormat="1" applyFont="1" applyBorder="1" applyAlignment="1">
      <alignment horizontal="right" indent="1"/>
    </xf>
    <xf numFmtId="0" fontId="30" fillId="31" borderId="10" xfId="0" applyFont="1" applyFill="1" applyBorder="1"/>
    <xf numFmtId="2" fontId="30" fillId="31" borderId="10" xfId="0" applyNumberFormat="1" applyFont="1" applyFill="1" applyBorder="1" applyAlignment="1">
      <alignment horizontal="right" indent="1"/>
    </xf>
    <xf numFmtId="0" fontId="30" fillId="31" borderId="11" xfId="0" applyFont="1" applyFill="1" applyBorder="1"/>
    <xf numFmtId="0" fontId="20" fillId="0" borderId="10" xfId="0" applyFont="1" applyBorder="1" applyAlignment="1">
      <alignment vertical="center"/>
    </xf>
    <xf numFmtId="0" fontId="20" fillId="25" borderId="10" xfId="0" applyFont="1" applyFill="1" applyBorder="1" applyAlignment="1">
      <alignment horizontal="left"/>
    </xf>
    <xf numFmtId="0" fontId="20" fillId="25" borderId="10" xfId="0" applyFont="1" applyFill="1" applyBorder="1"/>
    <xf numFmtId="0" fontId="20" fillId="37" borderId="10" xfId="0" applyFont="1" applyFill="1" applyBorder="1" applyAlignment="1">
      <alignment horizontal="left" vertical="center"/>
    </xf>
    <xf numFmtId="0" fontId="20" fillId="36" borderId="10" xfId="0" applyFont="1" applyFill="1" applyBorder="1"/>
    <xf numFmtId="0" fontId="20" fillId="36" borderId="10" xfId="0" applyFont="1" applyFill="1" applyBorder="1" applyAlignment="1">
      <alignment horizontal="left"/>
    </xf>
    <xf numFmtId="2" fontId="20" fillId="0" borderId="16" xfId="0" applyNumberFormat="1" applyFont="1" applyBorder="1" applyAlignment="1">
      <alignment horizontal="right" indent="1"/>
    </xf>
    <xf numFmtId="0" fontId="20" fillId="0" borderId="10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18" fillId="0" borderId="19" xfId="0" applyFont="1" applyBorder="1" applyAlignment="1">
      <alignment horizontal="center" vertical="center"/>
    </xf>
    <xf numFmtId="2" fontId="20" fillId="0" borderId="19" xfId="0" applyNumberFormat="1" applyFont="1" applyBorder="1" applyAlignment="1">
      <alignment horizontal="right" vertical="center" indent="1"/>
    </xf>
    <xf numFmtId="0" fontId="18" fillId="0" borderId="13" xfId="0" applyFont="1" applyBorder="1"/>
    <xf numFmtId="2" fontId="20" fillId="0" borderId="14" xfId="0" applyNumberFormat="1" applyFont="1" applyBorder="1" applyAlignment="1">
      <alignment horizontal="right" indent="1"/>
    </xf>
    <xf numFmtId="2" fontId="20" fillId="0" borderId="19" xfId="0" applyNumberFormat="1" applyFont="1" applyBorder="1" applyAlignment="1">
      <alignment horizontal="center" vertical="center"/>
    </xf>
    <xf numFmtId="2" fontId="30" fillId="0" borderId="19" xfId="0" applyNumberFormat="1" applyFont="1" applyBorder="1" applyAlignment="1">
      <alignment horizontal="right" indent="1"/>
    </xf>
    <xf numFmtId="0" fontId="18" fillId="0" borderId="19" xfId="0" applyFont="1" applyBorder="1" applyAlignment="1">
      <alignment horizontal="right" indent="1"/>
    </xf>
    <xf numFmtId="4" fontId="20" fillId="0" borderId="19" xfId="0" applyNumberFormat="1" applyFont="1" applyBorder="1" applyAlignment="1">
      <alignment horizontal="right" indent="1"/>
    </xf>
    <xf numFmtId="2" fontId="20" fillId="0" borderId="22" xfId="0" applyNumberFormat="1" applyFont="1" applyBorder="1" applyAlignment="1">
      <alignment horizontal="right" vertical="center" indent="1"/>
    </xf>
    <xf numFmtId="2" fontId="20" fillId="37" borderId="16" xfId="0" applyNumberFormat="1" applyFont="1" applyFill="1" applyBorder="1" applyAlignment="1">
      <alignment horizontal="right" vertical="center" indent="1"/>
    </xf>
    <xf numFmtId="0" fontId="0" fillId="0" borderId="9" xfId="0" applyBorder="1"/>
    <xf numFmtId="184" fontId="51" fillId="0" borderId="9" xfId="0" applyNumberFormat="1" applyFont="1" applyBorder="1" applyAlignment="1">
      <alignment horizontal="center"/>
    </xf>
    <xf numFmtId="184" fontId="25" fillId="31" borderId="9" xfId="0" applyNumberFormat="1" applyFont="1" applyFill="1" applyBorder="1" applyAlignment="1">
      <alignment horizontal="center"/>
    </xf>
    <xf numFmtId="184" fontId="26" fillId="31" borderId="10" xfId="0" applyNumberFormat="1" applyFont="1" applyFill="1" applyBorder="1" applyAlignment="1">
      <alignment horizontal="center"/>
    </xf>
    <xf numFmtId="184" fontId="26" fillId="31" borderId="10" xfId="0" applyNumberFormat="1" applyFont="1" applyFill="1" applyBorder="1" applyAlignment="1">
      <alignment horizontal="left"/>
    </xf>
    <xf numFmtId="2" fontId="25" fillId="31" borderId="10" xfId="0" applyNumberFormat="1" applyFont="1" applyFill="1" applyBorder="1" applyAlignment="1">
      <alignment horizontal="right" indent="1"/>
    </xf>
    <xf numFmtId="184" fontId="25" fillId="31" borderId="10" xfId="0" applyNumberFormat="1" applyFont="1" applyFill="1" applyBorder="1"/>
    <xf numFmtId="2" fontId="51" fillId="0" borderId="9" xfId="0" applyNumberFormat="1" applyFont="1" applyBorder="1" applyAlignment="1">
      <alignment horizontal="left"/>
    </xf>
    <xf numFmtId="2" fontId="25" fillId="0" borderId="10" xfId="0" applyNumberFormat="1" applyFont="1" applyBorder="1" applyAlignment="1">
      <alignment horizontal="center"/>
    </xf>
    <xf numFmtId="0" fontId="52" fillId="0" borderId="0" xfId="0" applyFont="1" applyAlignment="1">
      <alignment horizontal="right"/>
    </xf>
    <xf numFmtId="2" fontId="25" fillId="0" borderId="10" xfId="0" applyNumberFormat="1" applyFont="1" applyBorder="1" applyAlignment="1">
      <alignment horizontal="right" indent="1"/>
    </xf>
    <xf numFmtId="2" fontId="26" fillId="0" borderId="19" xfId="0" applyNumberFormat="1" applyFont="1" applyBorder="1" applyAlignment="1">
      <alignment horizontal="right" indent="1"/>
    </xf>
    <xf numFmtId="190" fontId="20" fillId="0" borderId="10" xfId="0" applyNumberFormat="1" applyFont="1" applyBorder="1"/>
    <xf numFmtId="3" fontId="20" fillId="0" borderId="19" xfId="0" applyNumberFormat="1" applyFont="1" applyBorder="1" applyAlignment="1">
      <alignment horizontal="right" indent="1"/>
    </xf>
    <xf numFmtId="0" fontId="20" fillId="56" borderId="9" xfId="0" applyFont="1" applyFill="1" applyBorder="1"/>
    <xf numFmtId="0" fontId="20" fillId="56" borderId="10" xfId="0" applyFont="1" applyFill="1" applyBorder="1" applyAlignment="1">
      <alignment horizontal="center"/>
    </xf>
    <xf numFmtId="0" fontId="0" fillId="56" borderId="10" xfId="0" applyFill="1" applyBorder="1"/>
    <xf numFmtId="2" fontId="20" fillId="56" borderId="10" xfId="0" applyNumberFormat="1" applyFont="1" applyFill="1" applyBorder="1" applyAlignment="1">
      <alignment horizontal="right" indent="1"/>
    </xf>
    <xf numFmtId="0" fontId="20" fillId="56" borderId="10" xfId="0" applyFont="1" applyFill="1" applyBorder="1"/>
    <xf numFmtId="0" fontId="20" fillId="56" borderId="9" xfId="0" applyFont="1" applyFill="1" applyBorder="1" applyAlignment="1">
      <alignment horizontal="left"/>
    </xf>
    <xf numFmtId="0" fontId="20" fillId="56" borderId="10" xfId="0" applyFont="1" applyFill="1" applyBorder="1" applyAlignment="1">
      <alignment horizontal="left"/>
    </xf>
    <xf numFmtId="2" fontId="27" fillId="0" borderId="10" xfId="0" applyNumberFormat="1" applyFont="1" applyBorder="1"/>
    <xf numFmtId="2" fontId="0" fillId="0" borderId="9" xfId="0" applyNumberFormat="1" applyBorder="1" applyAlignment="1">
      <alignment horizontal="center" wrapText="1"/>
    </xf>
    <xf numFmtId="2" fontId="25" fillId="0" borderId="19" xfId="0" applyNumberFormat="1" applyFont="1" applyBorder="1" applyAlignment="1">
      <alignment horizontal="right" indent="1"/>
    </xf>
    <xf numFmtId="2" fontId="0" fillId="0" borderId="19" xfId="0" applyNumberFormat="1" applyBorder="1" applyAlignment="1">
      <alignment horizontal="center" wrapText="1"/>
    </xf>
    <xf numFmtId="0" fontId="20" fillId="23" borderId="19" xfId="0" applyFont="1" applyFill="1" applyBorder="1"/>
    <xf numFmtId="0" fontId="20" fillId="25" borderId="19" xfId="0" applyFont="1" applyFill="1" applyBorder="1"/>
    <xf numFmtId="0" fontId="18" fillId="33" borderId="19" xfId="0" applyFont="1" applyFill="1" applyBorder="1"/>
    <xf numFmtId="0" fontId="26" fillId="0" borderId="23" xfId="0" applyFont="1" applyBorder="1"/>
    <xf numFmtId="0" fontId="27" fillId="31" borderId="19" xfId="0" applyFont="1" applyFill="1" applyBorder="1"/>
    <xf numFmtId="0" fontId="20" fillId="29" borderId="19" xfId="0" applyFont="1" applyFill="1" applyBorder="1"/>
    <xf numFmtId="0" fontId="20" fillId="32" borderId="19" xfId="0" applyFont="1" applyFill="1" applyBorder="1"/>
    <xf numFmtId="0" fontId="18" fillId="0" borderId="19" xfId="0" applyFont="1" applyBorder="1"/>
    <xf numFmtId="0" fontId="21" fillId="0" borderId="9" xfId="0" applyFont="1" applyBorder="1" applyAlignment="1">
      <alignment horizontal="left"/>
    </xf>
    <xf numFmtId="164" fontId="18" fillId="0" borderId="11" xfId="0" applyNumberFormat="1" applyFont="1" applyBorder="1"/>
    <xf numFmtId="2" fontId="20" fillId="25" borderId="10" xfId="0" applyNumberFormat="1" applyFont="1" applyFill="1" applyBorder="1" applyAlignment="1">
      <alignment horizontal="right" indent="1"/>
    </xf>
    <xf numFmtId="0" fontId="26" fillId="0" borderId="20" xfId="0" applyFont="1" applyBorder="1"/>
    <xf numFmtId="0" fontId="19" fillId="0" borderId="10" xfId="0" applyFont="1" applyBorder="1" applyAlignment="1">
      <alignment horizontal="right" vertical="center"/>
    </xf>
    <xf numFmtId="0" fontId="20" fillId="0" borderId="10" xfId="0" applyFont="1" applyBorder="1" applyAlignment="1">
      <alignment horizontal="right"/>
    </xf>
    <xf numFmtId="0" fontId="20" fillId="0" borderId="10" xfId="0" applyFont="1" applyBorder="1" applyAlignment="1">
      <alignment horizontal="right" vertical="center"/>
    </xf>
    <xf numFmtId="0" fontId="27" fillId="0" borderId="10" xfId="0" applyFont="1" applyBorder="1" applyAlignment="1">
      <alignment horizontal="right"/>
    </xf>
    <xf numFmtId="2" fontId="20" fillId="0" borderId="10" xfId="0" applyNumberFormat="1" applyFont="1" applyBorder="1" applyAlignment="1">
      <alignment horizontal="right"/>
    </xf>
    <xf numFmtId="0" fontId="29" fillId="0" borderId="10" xfId="0" applyFont="1" applyBorder="1" applyAlignment="1">
      <alignment horizontal="right"/>
    </xf>
    <xf numFmtId="0" fontId="18" fillId="0" borderId="10" xfId="0" applyFont="1" applyBorder="1" applyAlignment="1">
      <alignment horizontal="right"/>
    </xf>
    <xf numFmtId="0" fontId="39" fillId="0" borderId="11" xfId="0" applyFont="1" applyBorder="1" applyAlignment="1">
      <alignment horizontal="center" vertical="center" wrapText="1"/>
    </xf>
    <xf numFmtId="0" fontId="41" fillId="0" borderId="10" xfId="0" applyFont="1" applyBorder="1"/>
    <xf numFmtId="0" fontId="20" fillId="0" borderId="11" xfId="0" applyFont="1" applyBorder="1" applyAlignment="1">
      <alignment horizontal="right"/>
    </xf>
    <xf numFmtId="0" fontId="19" fillId="0" borderId="11" xfId="0" applyFont="1" applyBorder="1" applyAlignment="1">
      <alignment horizontal="right" vertical="center"/>
    </xf>
    <xf numFmtId="0" fontId="20" fillId="0" borderId="11" xfId="0" applyFont="1" applyBorder="1" applyAlignment="1">
      <alignment horizontal="right" vertical="center"/>
    </xf>
    <xf numFmtId="0" fontId="27" fillId="0" borderId="19" xfId="0" applyFont="1" applyBorder="1" applyAlignment="1">
      <alignment horizontal="right"/>
    </xf>
    <xf numFmtId="43" fontId="20" fillId="0" borderId="19" xfId="1349" applyFont="1" applyFill="1" applyBorder="1" applyAlignment="1">
      <alignment horizontal="right" vertical="center" indent="1"/>
    </xf>
    <xf numFmtId="0" fontId="39" fillId="0" borderId="13" xfId="0" applyFont="1" applyBorder="1" applyAlignment="1">
      <alignment horizontal="center" vertical="center" wrapText="1"/>
    </xf>
    <xf numFmtId="2" fontId="39" fillId="0" borderId="15" xfId="0" applyNumberFormat="1" applyFont="1" applyBorder="1" applyAlignment="1">
      <alignment horizontal="center" vertical="center" wrapText="1"/>
    </xf>
    <xf numFmtId="0" fontId="27" fillId="0" borderId="17" xfId="0" applyFont="1" applyBorder="1" applyAlignment="1">
      <alignment horizontal="left"/>
    </xf>
    <xf numFmtId="2" fontId="27" fillId="0" borderId="18" xfId="0" applyNumberFormat="1" applyFont="1" applyBorder="1"/>
    <xf numFmtId="1" fontId="18" fillId="28" borderId="9" xfId="0" applyNumberFormat="1" applyFont="1" applyFill="1" applyBorder="1"/>
    <xf numFmtId="3" fontId="20" fillId="28" borderId="10" xfId="0" applyNumberFormat="1" applyFont="1" applyFill="1" applyBorder="1" applyAlignment="1">
      <alignment horizontal="right" vertical="center" indent="1"/>
    </xf>
    <xf numFmtId="0" fontId="18" fillId="28" borderId="11" xfId="0" applyFont="1" applyFill="1" applyBorder="1"/>
    <xf numFmtId="0" fontId="28" fillId="34" borderId="9" xfId="0" applyFont="1" applyFill="1" applyBorder="1" applyAlignment="1">
      <alignment vertical="center" wrapText="1"/>
    </xf>
    <xf numFmtId="0" fontId="28" fillId="34" borderId="10" xfId="0" applyFont="1" applyFill="1" applyBorder="1" applyAlignment="1">
      <alignment horizontal="center"/>
    </xf>
    <xf numFmtId="184" fontId="28" fillId="34" borderId="10" xfId="0" applyNumberFormat="1" applyFont="1" applyFill="1" applyBorder="1" applyAlignment="1">
      <alignment horizontal="right" indent="1"/>
    </xf>
    <xf numFmtId="0" fontId="28" fillId="34" borderId="11" xfId="0" applyFont="1" applyFill="1" applyBorder="1"/>
    <xf numFmtId="0" fontId="18" fillId="45" borderId="10" xfId="0" applyFont="1" applyFill="1" applyBorder="1"/>
    <xf numFmtId="190" fontId="20" fillId="0" borderId="10" xfId="0" applyNumberFormat="1" applyFont="1" applyBorder="1" applyAlignment="1">
      <alignment horizontal="right" indent="1"/>
    </xf>
    <xf numFmtId="180" fontId="27" fillId="0" borderId="19" xfId="0" applyNumberFormat="1" applyFont="1" applyBorder="1" applyAlignment="1">
      <alignment horizontal="right" indent="1"/>
    </xf>
    <xf numFmtId="189" fontId="20" fillId="0" borderId="10" xfId="0" applyNumberFormat="1" applyFont="1" applyBorder="1" applyAlignment="1">
      <alignment horizontal="right" vertical="center" indent="1"/>
    </xf>
    <xf numFmtId="0" fontId="19" fillId="57" borderId="10" xfId="0" applyFont="1" applyFill="1" applyBorder="1" applyAlignment="1">
      <alignment horizontal="center" vertical="center"/>
    </xf>
    <xf numFmtId="4" fontId="20" fillId="55" borderId="10" xfId="0" applyNumberFormat="1" applyFont="1" applyFill="1" applyBorder="1" applyAlignment="1">
      <alignment horizontal="right" indent="1"/>
    </xf>
    <xf numFmtId="0" fontId="18" fillId="33" borderId="9" xfId="0" applyFont="1" applyFill="1" applyBorder="1" applyAlignment="1">
      <alignment vertical="center"/>
    </xf>
    <xf numFmtId="0" fontId="18" fillId="33" borderId="10" xfId="0" applyFont="1" applyFill="1" applyBorder="1" applyAlignment="1">
      <alignment horizontal="center"/>
    </xf>
    <xf numFmtId="1" fontId="20" fillId="33" borderId="10" xfId="0" applyNumberFormat="1" applyFont="1" applyFill="1" applyBorder="1" applyAlignment="1">
      <alignment horizontal="right" indent="1"/>
    </xf>
    <xf numFmtId="10" fontId="18" fillId="33" borderId="10" xfId="0" applyNumberFormat="1" applyFont="1" applyFill="1" applyBorder="1" applyAlignment="1">
      <alignment horizontal="right" indent="1"/>
    </xf>
    <xf numFmtId="2" fontId="20" fillId="0" borderId="0" xfId="0" applyNumberFormat="1" applyFont="1" applyAlignment="1">
      <alignment horizontal="right"/>
    </xf>
    <xf numFmtId="2" fontId="20" fillId="0" borderId="11" xfId="0" applyNumberFormat="1" applyFont="1" applyBorder="1" applyAlignment="1">
      <alignment horizontal="right" indent="1"/>
    </xf>
    <xf numFmtId="0" fontId="18" fillId="58" borderId="9" xfId="0" applyFont="1" applyFill="1" applyBorder="1" applyAlignment="1">
      <alignment vertical="center"/>
    </xf>
    <xf numFmtId="189" fontId="20" fillId="58" borderId="10" xfId="1" applyNumberFormat="1" applyFont="1" applyFill="1" applyBorder="1" applyAlignment="1" applyProtection="1">
      <alignment horizontal="right" indent="1"/>
    </xf>
    <xf numFmtId="0" fontId="18" fillId="58" borderId="10" xfId="0" applyFont="1" applyFill="1" applyBorder="1"/>
    <xf numFmtId="0" fontId="18" fillId="55" borderId="9" xfId="0" applyFont="1" applyFill="1" applyBorder="1"/>
    <xf numFmtId="1" fontId="18" fillId="55" borderId="10" xfId="0" applyNumberFormat="1" applyFont="1" applyFill="1" applyBorder="1" applyAlignment="1">
      <alignment horizontal="right" indent="1"/>
    </xf>
    <xf numFmtId="2" fontId="18" fillId="55" borderId="10" xfId="0" applyNumberFormat="1" applyFont="1" applyFill="1" applyBorder="1" applyAlignment="1">
      <alignment horizontal="right" indent="1"/>
    </xf>
    <xf numFmtId="0" fontId="18" fillId="55" borderId="11" xfId="0" applyFont="1" applyFill="1" applyBorder="1"/>
    <xf numFmtId="1" fontId="18" fillId="28" borderId="10" xfId="0" applyNumberFormat="1" applyFont="1" applyFill="1" applyBorder="1" applyAlignment="1">
      <alignment horizontal="right" indent="1"/>
    </xf>
    <xf numFmtId="2" fontId="18" fillId="28" borderId="10" xfId="0" applyNumberFormat="1" applyFont="1" applyFill="1" applyBorder="1" applyAlignment="1">
      <alignment horizontal="right" indent="1"/>
    </xf>
    <xf numFmtId="184" fontId="27" fillId="0" borderId="19" xfId="0" applyNumberFormat="1" applyFont="1" applyBorder="1" applyAlignment="1">
      <alignment horizontal="right" indent="1"/>
    </xf>
    <xf numFmtId="0" fontId="18" fillId="45" borderId="9" xfId="0" applyFont="1" applyFill="1" applyBorder="1"/>
    <xf numFmtId="1" fontId="27" fillId="0" borderId="10" xfId="0" applyNumberFormat="1" applyFont="1" applyBorder="1" applyAlignment="1">
      <alignment horizontal="right" indent="1"/>
    </xf>
    <xf numFmtId="189" fontId="20" fillId="0" borderId="9" xfId="1" applyNumberFormat="1" applyFont="1" applyBorder="1" applyAlignment="1" applyProtection="1">
      <alignment horizontal="right" indent="1"/>
    </xf>
    <xf numFmtId="10" fontId="18" fillId="0" borderId="9" xfId="0" applyNumberFormat="1" applyFont="1" applyBorder="1" applyAlignment="1">
      <alignment horizontal="right" indent="1"/>
    </xf>
    <xf numFmtId="0" fontId="20" fillId="28" borderId="10" xfId="0" applyFont="1" applyFill="1" applyBorder="1" applyAlignment="1">
      <alignment horizontal="center"/>
    </xf>
    <xf numFmtId="3" fontId="20" fillId="28" borderId="10" xfId="0" applyNumberFormat="1" applyFont="1" applyFill="1" applyBorder="1" applyAlignment="1">
      <alignment horizontal="right" indent="1"/>
    </xf>
    <xf numFmtId="0" fontId="18" fillId="59" borderId="9" xfId="0" applyFont="1" applyFill="1" applyBorder="1"/>
    <xf numFmtId="0" fontId="19" fillId="59" borderId="10" xfId="0" applyFont="1" applyFill="1" applyBorder="1"/>
    <xf numFmtId="1" fontId="20" fillId="59" borderId="10" xfId="0" applyNumberFormat="1" applyFont="1" applyFill="1" applyBorder="1" applyAlignment="1">
      <alignment horizontal="right" vertical="center" indent="1"/>
    </xf>
    <xf numFmtId="2" fontId="27" fillId="0" borderId="16" xfId="0" applyNumberFormat="1" applyFont="1" applyBorder="1"/>
    <xf numFmtId="2" fontId="20" fillId="59" borderId="10" xfId="0" applyNumberFormat="1" applyFont="1" applyFill="1" applyBorder="1" applyAlignment="1">
      <alignment horizontal="right" vertical="center" indent="1"/>
    </xf>
    <xf numFmtId="0" fontId="18" fillId="60" borderId="9" xfId="0" applyFont="1" applyFill="1" applyBorder="1"/>
    <xf numFmtId="0" fontId="19" fillId="60" borderId="10" xfId="0" applyFont="1" applyFill="1" applyBorder="1"/>
    <xf numFmtId="2" fontId="20" fillId="60" borderId="10" xfId="0" applyNumberFormat="1" applyFont="1" applyFill="1" applyBorder="1" applyAlignment="1">
      <alignment horizontal="right" vertical="center" indent="1"/>
    </xf>
    <xf numFmtId="0" fontId="18" fillId="60" borderId="11" xfId="0" applyFont="1" applyFill="1" applyBorder="1"/>
    <xf numFmtId="0" fontId="20" fillId="23" borderId="10" xfId="0" applyFont="1" applyFill="1" applyBorder="1"/>
    <xf numFmtId="0" fontId="18" fillId="59" borderId="10" xfId="0" applyFont="1" applyFill="1" applyBorder="1"/>
    <xf numFmtId="2" fontId="27" fillId="31" borderId="10" xfId="0" applyNumberFormat="1" applyFont="1" applyFill="1" applyBorder="1"/>
    <xf numFmtId="4" fontId="20" fillId="0" borderId="9" xfId="0" applyNumberFormat="1" applyFont="1" applyBorder="1" applyAlignment="1">
      <alignment horizontal="right" indent="1"/>
    </xf>
    <xf numFmtId="1" fontId="20" fillId="0" borderId="9" xfId="0" applyNumberFormat="1" applyFont="1" applyBorder="1" applyAlignment="1">
      <alignment horizontal="right" vertical="center" indent="1"/>
    </xf>
    <xf numFmtId="2" fontId="20" fillId="0" borderId="9" xfId="0" applyNumberFormat="1" applyFont="1" applyBorder="1" applyAlignment="1">
      <alignment horizontal="right" vertical="center" indent="1"/>
    </xf>
    <xf numFmtId="2" fontId="27" fillId="0" borderId="17" xfId="0" applyNumberFormat="1" applyFont="1" applyBorder="1" applyAlignment="1">
      <alignment horizontal="right" indent="1"/>
    </xf>
    <xf numFmtId="0" fontId="19" fillId="60" borderId="16" xfId="0" applyFont="1" applyFill="1" applyBorder="1"/>
    <xf numFmtId="0" fontId="18" fillId="60" borderId="18" xfId="0" applyFont="1" applyFill="1" applyBorder="1"/>
    <xf numFmtId="0" fontId="18" fillId="55" borderId="17" xfId="0" applyFont="1" applyFill="1" applyBorder="1"/>
    <xf numFmtId="1" fontId="20" fillId="60" borderId="16" xfId="0" applyNumberFormat="1" applyFont="1" applyFill="1" applyBorder="1" applyAlignment="1">
      <alignment horizontal="right" vertical="center" indent="1"/>
    </xf>
    <xf numFmtId="184" fontId="18" fillId="0" borderId="10" xfId="0" applyNumberFormat="1" applyFont="1" applyBorder="1" applyAlignment="1">
      <alignment horizontal="right" indent="1"/>
    </xf>
    <xf numFmtId="0" fontId="19" fillId="59" borderId="10" xfId="0" applyFont="1" applyFill="1" applyBorder="1" applyAlignment="1">
      <alignment horizontal="center"/>
    </xf>
    <xf numFmtId="3" fontId="27" fillId="0" borderId="10" xfId="0" applyNumberFormat="1" applyFont="1" applyBorder="1" applyAlignment="1">
      <alignment horizontal="right" indent="1"/>
    </xf>
    <xf numFmtId="0" fontId="18" fillId="58" borderId="11" xfId="0" applyFont="1" applyFill="1" applyBorder="1"/>
    <xf numFmtId="0" fontId="20" fillId="46" borderId="10" xfId="0" applyFont="1" applyFill="1" applyBorder="1" applyAlignment="1">
      <alignment horizontal="right" vertical="center" indent="1"/>
    </xf>
    <xf numFmtId="189" fontId="18" fillId="0" borderId="14" xfId="1349" applyNumberFormat="1" applyFont="1" applyFill="1" applyBorder="1" applyAlignment="1">
      <alignment horizontal="center"/>
    </xf>
    <xf numFmtId="0" fontId="22" fillId="0" borderId="17" xfId="0" applyFont="1" applyBorder="1" applyAlignment="1">
      <alignment horizontal="left"/>
    </xf>
    <xf numFmtId="9" fontId="27" fillId="0" borderId="16" xfId="0" applyNumberFormat="1" applyFont="1" applyBorder="1" applyAlignment="1">
      <alignment horizontal="right" indent="1"/>
    </xf>
    <xf numFmtId="9" fontId="18" fillId="26" borderId="10" xfId="0" applyNumberFormat="1" applyFont="1" applyFill="1" applyBorder="1" applyAlignment="1">
      <alignment horizontal="right" indent="1"/>
    </xf>
    <xf numFmtId="9" fontId="27" fillId="0" borderId="17" xfId="0" applyNumberFormat="1" applyFont="1" applyBorder="1" applyAlignment="1">
      <alignment horizontal="right" indent="1"/>
    </xf>
    <xf numFmtId="0" fontId="29" fillId="0" borderId="0" xfId="0" applyFont="1" applyAlignment="1">
      <alignment horizontal="right" vertical="center" wrapText="1"/>
    </xf>
    <xf numFmtId="0" fontId="19" fillId="0" borderId="10" xfId="0" applyFont="1" applyBorder="1" applyAlignment="1">
      <alignment horizontal="right"/>
    </xf>
    <xf numFmtId="0" fontId="18" fillId="42" borderId="10" xfId="0" applyFont="1" applyFill="1" applyBorder="1"/>
    <xf numFmtId="2" fontId="20" fillId="0" borderId="17" xfId="0" applyNumberFormat="1" applyFont="1" applyBorder="1" applyAlignment="1">
      <alignment horizontal="right" vertical="center" indent="1"/>
    </xf>
    <xf numFmtId="0" fontId="27" fillId="0" borderId="9" xfId="0" applyFont="1" applyBorder="1" applyAlignment="1">
      <alignment horizontal="left"/>
    </xf>
    <xf numFmtId="0" fontId="27" fillId="28" borderId="9" xfId="0" applyFont="1" applyFill="1" applyBorder="1"/>
    <xf numFmtId="186" fontId="27" fillId="28" borderId="10" xfId="0" applyNumberFormat="1" applyFont="1" applyFill="1" applyBorder="1" applyAlignment="1">
      <alignment horizontal="center" vertical="center"/>
    </xf>
    <xf numFmtId="2" fontId="27" fillId="28" borderId="10" xfId="0" applyNumberFormat="1" applyFont="1" applyFill="1" applyBorder="1" applyAlignment="1">
      <alignment horizontal="right" indent="1"/>
    </xf>
    <xf numFmtId="2" fontId="27" fillId="28" borderId="11" xfId="0" applyNumberFormat="1" applyFont="1" applyFill="1" applyBorder="1"/>
    <xf numFmtId="186" fontId="29" fillId="31" borderId="10" xfId="0" applyNumberFormat="1" applyFont="1" applyFill="1" applyBorder="1" applyAlignment="1">
      <alignment horizontal="center" vertical="center"/>
    </xf>
    <xf numFmtId="0" fontId="20" fillId="0" borderId="0" xfId="0" quotePrefix="1" applyFont="1" applyAlignment="1">
      <alignment vertical="center" wrapText="1"/>
    </xf>
    <xf numFmtId="0" fontId="41" fillId="0" borderId="0" xfId="0" applyFont="1"/>
    <xf numFmtId="0" fontId="41" fillId="0" borderId="0" xfId="0" applyFont="1" applyAlignment="1">
      <alignment vertical="center" wrapText="1"/>
    </xf>
    <xf numFmtId="0" fontId="41" fillId="0" borderId="0" xfId="0" applyFont="1" applyAlignment="1">
      <alignment wrapText="1"/>
    </xf>
    <xf numFmtId="0" fontId="0" fillId="0" borderId="0" xfId="0"/>
    <xf numFmtId="0" fontId="22" fillId="0" borderId="19" xfId="0" applyFont="1" applyBorder="1" applyAlignment="1">
      <alignment horizontal="center" vertical="center"/>
    </xf>
    <xf numFmtId="0" fontId="20" fillId="38" borderId="16" xfId="0" applyFont="1" applyFill="1" applyBorder="1" applyAlignment="1">
      <alignment horizontal="left" vertical="center"/>
    </xf>
    <xf numFmtId="0" fontId="20" fillId="38" borderId="10" xfId="0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0" fillId="28" borderId="13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20" fillId="54" borderId="9" xfId="0" applyFont="1" applyFill="1" applyBorder="1" applyAlignment="1">
      <alignment vertical="center" wrapText="1"/>
    </xf>
    <xf numFmtId="0" fontId="0" fillId="54" borderId="10" xfId="0" applyFill="1" applyBorder="1" applyAlignment="1">
      <alignment vertical="center"/>
    </xf>
    <xf numFmtId="0" fontId="30" fillId="0" borderId="9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1" fillId="0" borderId="14" xfId="0" applyFont="1" applyBorder="1" applyAlignment="1">
      <alignment horizontal="left" vertical="center" wrapText="1"/>
    </xf>
    <xf numFmtId="0" fontId="44" fillId="0" borderId="14" xfId="0" applyFont="1" applyBorder="1" applyAlignment="1">
      <alignment wrapText="1"/>
    </xf>
    <xf numFmtId="0" fontId="31" fillId="0" borderId="16" xfId="0" applyFont="1" applyBorder="1" applyAlignment="1">
      <alignment horizontal="center" vertical="center" wrapText="1"/>
    </xf>
    <xf numFmtId="0" fontId="44" fillId="0" borderId="16" xfId="0" applyFont="1" applyBorder="1" applyAlignment="1">
      <alignment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8" xfId="0" applyBorder="1" applyAlignment="1">
      <alignment wrapText="1"/>
    </xf>
    <xf numFmtId="0" fontId="26" fillId="31" borderId="9" xfId="0" applyFont="1" applyFill="1" applyBorder="1" applyAlignment="1">
      <alignment horizontal="center" vertical="center" wrapText="1"/>
    </xf>
    <xf numFmtId="0" fontId="26" fillId="31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6" fillId="31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25" fillId="0" borderId="10" xfId="0" applyFont="1" applyBorder="1" applyAlignment="1">
      <alignment horizontal="center" vertical="center"/>
    </xf>
  </cellXfs>
  <cellStyles count="1350">
    <cellStyle name="=C:\WINNT35\SYSTEM32\COMMAND.COM" xfId="469" xr:uid="{00000000-0005-0000-0000-0000D8010000}"/>
    <cellStyle name="20% - Accent1" xfId="3" xr:uid="{00000000-0005-0000-0000-000006000000}"/>
    <cellStyle name="20% - Accent1 10" xfId="4" xr:uid="{00000000-0005-0000-0000-000007000000}"/>
    <cellStyle name="20% - Accent1 11" xfId="5" xr:uid="{00000000-0005-0000-0000-000008000000}"/>
    <cellStyle name="20% - Accent1 12" xfId="6" xr:uid="{00000000-0005-0000-0000-000009000000}"/>
    <cellStyle name="20% - Accent1 13" xfId="7" xr:uid="{00000000-0005-0000-0000-00000A000000}"/>
    <cellStyle name="20% - Accent1 14" xfId="8" xr:uid="{00000000-0005-0000-0000-00000B000000}"/>
    <cellStyle name="20% - Accent1 15" xfId="9" xr:uid="{00000000-0005-0000-0000-00000C000000}"/>
    <cellStyle name="20% - Accent1 16" xfId="10" xr:uid="{00000000-0005-0000-0000-00000D000000}"/>
    <cellStyle name="20% - Accent1 17" xfId="11" xr:uid="{00000000-0005-0000-0000-00000E000000}"/>
    <cellStyle name="20% - Accent1 18" xfId="12" xr:uid="{00000000-0005-0000-0000-00000F000000}"/>
    <cellStyle name="20% - Accent1 19" xfId="13" xr:uid="{00000000-0005-0000-0000-000010000000}"/>
    <cellStyle name="20% - Accent1 2" xfId="14" xr:uid="{00000000-0005-0000-0000-000011000000}"/>
    <cellStyle name="20% - Accent1 20" xfId="15" xr:uid="{00000000-0005-0000-0000-000012000000}"/>
    <cellStyle name="20% - Accent1 21" xfId="16" xr:uid="{00000000-0005-0000-0000-000013000000}"/>
    <cellStyle name="20% - Accent1 22" xfId="17" xr:uid="{00000000-0005-0000-0000-000014000000}"/>
    <cellStyle name="20% - Accent1 23" xfId="18" xr:uid="{00000000-0005-0000-0000-000015000000}"/>
    <cellStyle name="20% - Accent1 24" xfId="19" xr:uid="{00000000-0005-0000-0000-000016000000}"/>
    <cellStyle name="20% - Accent1 25" xfId="20" xr:uid="{00000000-0005-0000-0000-000017000000}"/>
    <cellStyle name="20% - Accent1 26" xfId="21" xr:uid="{00000000-0005-0000-0000-000018000000}"/>
    <cellStyle name="20% - Accent1 27" xfId="22" xr:uid="{00000000-0005-0000-0000-000019000000}"/>
    <cellStyle name="20% - Accent1 28" xfId="23" xr:uid="{00000000-0005-0000-0000-00001A000000}"/>
    <cellStyle name="20% - Accent1 29" xfId="24" xr:uid="{00000000-0005-0000-0000-00001B000000}"/>
    <cellStyle name="20% - Accent1 3" xfId="25" xr:uid="{00000000-0005-0000-0000-00001C000000}"/>
    <cellStyle name="20% - Accent1 4" xfId="26" xr:uid="{00000000-0005-0000-0000-00001D000000}"/>
    <cellStyle name="20% - Accent1 5" xfId="27" xr:uid="{00000000-0005-0000-0000-00001E000000}"/>
    <cellStyle name="20% - Accent1 6" xfId="28" xr:uid="{00000000-0005-0000-0000-00001F000000}"/>
    <cellStyle name="20% - Accent1 7" xfId="29" xr:uid="{00000000-0005-0000-0000-000020000000}"/>
    <cellStyle name="20% - Accent1 8" xfId="30" xr:uid="{00000000-0005-0000-0000-000021000000}"/>
    <cellStyle name="20% - Accent1 9" xfId="31" xr:uid="{00000000-0005-0000-0000-000022000000}"/>
    <cellStyle name="20% - Accent2" xfId="32" xr:uid="{00000000-0005-0000-0000-000023000000}"/>
    <cellStyle name="20% - Accent2 10" xfId="33" xr:uid="{00000000-0005-0000-0000-000024000000}"/>
    <cellStyle name="20% - Accent2 11" xfId="34" xr:uid="{00000000-0005-0000-0000-000025000000}"/>
    <cellStyle name="20% - Accent2 12" xfId="35" xr:uid="{00000000-0005-0000-0000-000026000000}"/>
    <cellStyle name="20% - Accent2 13" xfId="36" xr:uid="{00000000-0005-0000-0000-000027000000}"/>
    <cellStyle name="20% - Accent2 14" xfId="37" xr:uid="{00000000-0005-0000-0000-000028000000}"/>
    <cellStyle name="20% - Accent2 15" xfId="38" xr:uid="{00000000-0005-0000-0000-000029000000}"/>
    <cellStyle name="20% - Accent2 16" xfId="39" xr:uid="{00000000-0005-0000-0000-00002A000000}"/>
    <cellStyle name="20% - Accent2 17" xfId="40" xr:uid="{00000000-0005-0000-0000-00002B000000}"/>
    <cellStyle name="20% - Accent2 18" xfId="41" xr:uid="{00000000-0005-0000-0000-00002C000000}"/>
    <cellStyle name="20% - Accent2 19" xfId="42" xr:uid="{00000000-0005-0000-0000-00002D000000}"/>
    <cellStyle name="20% - Accent2 2" xfId="43" xr:uid="{00000000-0005-0000-0000-00002E000000}"/>
    <cellStyle name="20% - Accent2 20" xfId="44" xr:uid="{00000000-0005-0000-0000-00002F000000}"/>
    <cellStyle name="20% - Accent2 21" xfId="45" xr:uid="{00000000-0005-0000-0000-000030000000}"/>
    <cellStyle name="20% - Accent2 22" xfId="46" xr:uid="{00000000-0005-0000-0000-000031000000}"/>
    <cellStyle name="20% - Accent2 23" xfId="47" xr:uid="{00000000-0005-0000-0000-000032000000}"/>
    <cellStyle name="20% - Accent2 24" xfId="48" xr:uid="{00000000-0005-0000-0000-000033000000}"/>
    <cellStyle name="20% - Accent2 25" xfId="49" xr:uid="{00000000-0005-0000-0000-000034000000}"/>
    <cellStyle name="20% - Accent2 26" xfId="50" xr:uid="{00000000-0005-0000-0000-000035000000}"/>
    <cellStyle name="20% - Accent2 27" xfId="51" xr:uid="{00000000-0005-0000-0000-000036000000}"/>
    <cellStyle name="20% - Accent2 28" xfId="52" xr:uid="{00000000-0005-0000-0000-000037000000}"/>
    <cellStyle name="20% - Accent2 29" xfId="53" xr:uid="{00000000-0005-0000-0000-000038000000}"/>
    <cellStyle name="20% - Accent2 3" xfId="54" xr:uid="{00000000-0005-0000-0000-000039000000}"/>
    <cellStyle name="20% - Accent2 4" xfId="55" xr:uid="{00000000-0005-0000-0000-00003A000000}"/>
    <cellStyle name="20% - Accent2 5" xfId="56" xr:uid="{00000000-0005-0000-0000-00003B000000}"/>
    <cellStyle name="20% - Accent2 6" xfId="57" xr:uid="{00000000-0005-0000-0000-00003C000000}"/>
    <cellStyle name="20% - Accent2 7" xfId="58" xr:uid="{00000000-0005-0000-0000-00003D000000}"/>
    <cellStyle name="20% - Accent2 8" xfId="59" xr:uid="{00000000-0005-0000-0000-00003E000000}"/>
    <cellStyle name="20% - Accent2 9" xfId="60" xr:uid="{00000000-0005-0000-0000-00003F000000}"/>
    <cellStyle name="20% - Accent3" xfId="61" xr:uid="{00000000-0005-0000-0000-000040000000}"/>
    <cellStyle name="20% - Accent3 10" xfId="62" xr:uid="{00000000-0005-0000-0000-000041000000}"/>
    <cellStyle name="20% - Accent3 11" xfId="63" xr:uid="{00000000-0005-0000-0000-000042000000}"/>
    <cellStyle name="20% - Accent3 12" xfId="64" xr:uid="{00000000-0005-0000-0000-000043000000}"/>
    <cellStyle name="20% - Accent3 13" xfId="65" xr:uid="{00000000-0005-0000-0000-000044000000}"/>
    <cellStyle name="20% - Accent3 14" xfId="66" xr:uid="{00000000-0005-0000-0000-000045000000}"/>
    <cellStyle name="20% - Accent3 15" xfId="67" xr:uid="{00000000-0005-0000-0000-000046000000}"/>
    <cellStyle name="20% - Accent3 16" xfId="68" xr:uid="{00000000-0005-0000-0000-000047000000}"/>
    <cellStyle name="20% - Accent3 17" xfId="69" xr:uid="{00000000-0005-0000-0000-000048000000}"/>
    <cellStyle name="20% - Accent3 18" xfId="70" xr:uid="{00000000-0005-0000-0000-000049000000}"/>
    <cellStyle name="20% - Accent3 19" xfId="71" xr:uid="{00000000-0005-0000-0000-00004A000000}"/>
    <cellStyle name="20% - Accent3 2" xfId="72" xr:uid="{00000000-0005-0000-0000-00004B000000}"/>
    <cellStyle name="20% - Accent3 20" xfId="73" xr:uid="{00000000-0005-0000-0000-00004C000000}"/>
    <cellStyle name="20% - Accent3 21" xfId="74" xr:uid="{00000000-0005-0000-0000-00004D000000}"/>
    <cellStyle name="20% - Accent3 22" xfId="75" xr:uid="{00000000-0005-0000-0000-00004E000000}"/>
    <cellStyle name="20% - Accent3 23" xfId="76" xr:uid="{00000000-0005-0000-0000-00004F000000}"/>
    <cellStyle name="20% - Accent3 24" xfId="77" xr:uid="{00000000-0005-0000-0000-000050000000}"/>
    <cellStyle name="20% - Accent3 25" xfId="78" xr:uid="{00000000-0005-0000-0000-000051000000}"/>
    <cellStyle name="20% - Accent3 26" xfId="79" xr:uid="{00000000-0005-0000-0000-000052000000}"/>
    <cellStyle name="20% - Accent3 27" xfId="80" xr:uid="{00000000-0005-0000-0000-000053000000}"/>
    <cellStyle name="20% - Accent3 28" xfId="81" xr:uid="{00000000-0005-0000-0000-000054000000}"/>
    <cellStyle name="20% - Accent3 29" xfId="82" xr:uid="{00000000-0005-0000-0000-000055000000}"/>
    <cellStyle name="20% - Accent3 3" xfId="83" xr:uid="{00000000-0005-0000-0000-000056000000}"/>
    <cellStyle name="20% - Accent3 4" xfId="84" xr:uid="{00000000-0005-0000-0000-000057000000}"/>
    <cellStyle name="20% - Accent3 5" xfId="85" xr:uid="{00000000-0005-0000-0000-000058000000}"/>
    <cellStyle name="20% - Accent3 6" xfId="86" xr:uid="{00000000-0005-0000-0000-000059000000}"/>
    <cellStyle name="20% - Accent3 7" xfId="87" xr:uid="{00000000-0005-0000-0000-00005A000000}"/>
    <cellStyle name="20% - Accent3 8" xfId="88" xr:uid="{00000000-0005-0000-0000-00005B000000}"/>
    <cellStyle name="20% - Accent3 9" xfId="89" xr:uid="{00000000-0005-0000-0000-00005C000000}"/>
    <cellStyle name="20% - Accent4" xfId="90" xr:uid="{00000000-0005-0000-0000-00005D000000}"/>
    <cellStyle name="20% - Accent4 10" xfId="91" xr:uid="{00000000-0005-0000-0000-00005E000000}"/>
    <cellStyle name="20% - Accent4 11" xfId="92" xr:uid="{00000000-0005-0000-0000-00005F000000}"/>
    <cellStyle name="20% - Accent4 12" xfId="93" xr:uid="{00000000-0005-0000-0000-000060000000}"/>
    <cellStyle name="20% - Accent4 13" xfId="94" xr:uid="{00000000-0005-0000-0000-000061000000}"/>
    <cellStyle name="20% - Accent4 14" xfId="95" xr:uid="{00000000-0005-0000-0000-000062000000}"/>
    <cellStyle name="20% - Accent4 15" xfId="96" xr:uid="{00000000-0005-0000-0000-000063000000}"/>
    <cellStyle name="20% - Accent4 16" xfId="97" xr:uid="{00000000-0005-0000-0000-000064000000}"/>
    <cellStyle name="20% - Accent4 17" xfId="98" xr:uid="{00000000-0005-0000-0000-000065000000}"/>
    <cellStyle name="20% - Accent4 18" xfId="99" xr:uid="{00000000-0005-0000-0000-000066000000}"/>
    <cellStyle name="20% - Accent4 19" xfId="100" xr:uid="{00000000-0005-0000-0000-000067000000}"/>
    <cellStyle name="20% - Accent4 2" xfId="101" xr:uid="{00000000-0005-0000-0000-000068000000}"/>
    <cellStyle name="20% - Accent4 20" xfId="102" xr:uid="{00000000-0005-0000-0000-000069000000}"/>
    <cellStyle name="20% - Accent4 21" xfId="103" xr:uid="{00000000-0005-0000-0000-00006A000000}"/>
    <cellStyle name="20% - Accent4 22" xfId="104" xr:uid="{00000000-0005-0000-0000-00006B000000}"/>
    <cellStyle name="20% - Accent4 23" xfId="105" xr:uid="{00000000-0005-0000-0000-00006C000000}"/>
    <cellStyle name="20% - Accent4 24" xfId="106" xr:uid="{00000000-0005-0000-0000-00006D000000}"/>
    <cellStyle name="20% - Accent4 25" xfId="107" xr:uid="{00000000-0005-0000-0000-00006E000000}"/>
    <cellStyle name="20% - Accent4 26" xfId="108" xr:uid="{00000000-0005-0000-0000-00006F000000}"/>
    <cellStyle name="20% - Accent4 27" xfId="109" xr:uid="{00000000-0005-0000-0000-000070000000}"/>
    <cellStyle name="20% - Accent4 28" xfId="110" xr:uid="{00000000-0005-0000-0000-000071000000}"/>
    <cellStyle name="20% - Accent4 29" xfId="111" xr:uid="{00000000-0005-0000-0000-000072000000}"/>
    <cellStyle name="20% - Accent4 3" xfId="112" xr:uid="{00000000-0005-0000-0000-000073000000}"/>
    <cellStyle name="20% - Accent4 4" xfId="113" xr:uid="{00000000-0005-0000-0000-000074000000}"/>
    <cellStyle name="20% - Accent4 5" xfId="114" xr:uid="{00000000-0005-0000-0000-000075000000}"/>
    <cellStyle name="20% - Accent4 6" xfId="115" xr:uid="{00000000-0005-0000-0000-000076000000}"/>
    <cellStyle name="20% - Accent4 7" xfId="116" xr:uid="{00000000-0005-0000-0000-000077000000}"/>
    <cellStyle name="20% - Accent4 8" xfId="117" xr:uid="{00000000-0005-0000-0000-000078000000}"/>
    <cellStyle name="20% - Accent4 9" xfId="118" xr:uid="{00000000-0005-0000-0000-000079000000}"/>
    <cellStyle name="20% - Accent5" xfId="119" xr:uid="{00000000-0005-0000-0000-00007A000000}"/>
    <cellStyle name="20% - Accent6" xfId="120" xr:uid="{00000000-0005-0000-0000-00007B000000}"/>
    <cellStyle name="20% - Accent6 10" xfId="121" xr:uid="{00000000-0005-0000-0000-00007C000000}"/>
    <cellStyle name="20% - Accent6 11" xfId="122" xr:uid="{00000000-0005-0000-0000-00007D000000}"/>
    <cellStyle name="20% - Accent6 12" xfId="123" xr:uid="{00000000-0005-0000-0000-00007E000000}"/>
    <cellStyle name="20% - Accent6 13" xfId="124" xr:uid="{00000000-0005-0000-0000-00007F000000}"/>
    <cellStyle name="20% - Accent6 14" xfId="125" xr:uid="{00000000-0005-0000-0000-000080000000}"/>
    <cellStyle name="20% - Accent6 15" xfId="126" xr:uid="{00000000-0005-0000-0000-000081000000}"/>
    <cellStyle name="20% - Accent6 16" xfId="127" xr:uid="{00000000-0005-0000-0000-000082000000}"/>
    <cellStyle name="20% - Accent6 17" xfId="128" xr:uid="{00000000-0005-0000-0000-000083000000}"/>
    <cellStyle name="20% - Accent6 18" xfId="129" xr:uid="{00000000-0005-0000-0000-000084000000}"/>
    <cellStyle name="20% - Accent6 19" xfId="130" xr:uid="{00000000-0005-0000-0000-000085000000}"/>
    <cellStyle name="20% - Accent6 2" xfId="131" xr:uid="{00000000-0005-0000-0000-000086000000}"/>
    <cellStyle name="20% - Accent6 20" xfId="132" xr:uid="{00000000-0005-0000-0000-000087000000}"/>
    <cellStyle name="20% - Accent6 21" xfId="133" xr:uid="{00000000-0005-0000-0000-000088000000}"/>
    <cellStyle name="20% - Accent6 22" xfId="134" xr:uid="{00000000-0005-0000-0000-000089000000}"/>
    <cellStyle name="20% - Accent6 23" xfId="135" xr:uid="{00000000-0005-0000-0000-00008A000000}"/>
    <cellStyle name="20% - Accent6 24" xfId="136" xr:uid="{00000000-0005-0000-0000-00008B000000}"/>
    <cellStyle name="20% - Accent6 25" xfId="137" xr:uid="{00000000-0005-0000-0000-00008C000000}"/>
    <cellStyle name="20% - Accent6 26" xfId="138" xr:uid="{00000000-0005-0000-0000-00008D000000}"/>
    <cellStyle name="20% - Accent6 27" xfId="139" xr:uid="{00000000-0005-0000-0000-00008E000000}"/>
    <cellStyle name="20% - Accent6 28" xfId="140" xr:uid="{00000000-0005-0000-0000-00008F000000}"/>
    <cellStyle name="20% - Accent6 29" xfId="141" xr:uid="{00000000-0005-0000-0000-000090000000}"/>
    <cellStyle name="20% - Accent6 3" xfId="142" xr:uid="{00000000-0005-0000-0000-000091000000}"/>
    <cellStyle name="20% - Accent6 4" xfId="143" xr:uid="{00000000-0005-0000-0000-000092000000}"/>
    <cellStyle name="20% - Accent6 5" xfId="144" xr:uid="{00000000-0005-0000-0000-000093000000}"/>
    <cellStyle name="20% - Accent6 6" xfId="145" xr:uid="{00000000-0005-0000-0000-000094000000}"/>
    <cellStyle name="20% - Accent6 7" xfId="146" xr:uid="{00000000-0005-0000-0000-000095000000}"/>
    <cellStyle name="20% - Accent6 8" xfId="147" xr:uid="{00000000-0005-0000-0000-000096000000}"/>
    <cellStyle name="20% - Accent6 9" xfId="148" xr:uid="{00000000-0005-0000-0000-000097000000}"/>
    <cellStyle name="40% - Accent1" xfId="149" xr:uid="{00000000-0005-0000-0000-000098000000}"/>
    <cellStyle name="40% - Accent1 10" xfId="150" xr:uid="{00000000-0005-0000-0000-000099000000}"/>
    <cellStyle name="40% - Accent1 11" xfId="151" xr:uid="{00000000-0005-0000-0000-00009A000000}"/>
    <cellStyle name="40% - Accent1 12" xfId="152" xr:uid="{00000000-0005-0000-0000-00009B000000}"/>
    <cellStyle name="40% - Accent1 13" xfId="153" xr:uid="{00000000-0005-0000-0000-00009C000000}"/>
    <cellStyle name="40% - Accent1 14" xfId="154" xr:uid="{00000000-0005-0000-0000-00009D000000}"/>
    <cellStyle name="40% - Accent1 15" xfId="155" xr:uid="{00000000-0005-0000-0000-00009E000000}"/>
    <cellStyle name="40% - Accent1 16" xfId="156" xr:uid="{00000000-0005-0000-0000-00009F000000}"/>
    <cellStyle name="40% - Accent1 17" xfId="157" xr:uid="{00000000-0005-0000-0000-0000A0000000}"/>
    <cellStyle name="40% - Accent1 18" xfId="158" xr:uid="{00000000-0005-0000-0000-0000A1000000}"/>
    <cellStyle name="40% - Accent1 19" xfId="159" xr:uid="{00000000-0005-0000-0000-0000A2000000}"/>
    <cellStyle name="40% - Accent1 2" xfId="160" xr:uid="{00000000-0005-0000-0000-0000A3000000}"/>
    <cellStyle name="40% - Accent1 20" xfId="161" xr:uid="{00000000-0005-0000-0000-0000A4000000}"/>
    <cellStyle name="40% - Accent1 21" xfId="162" xr:uid="{00000000-0005-0000-0000-0000A5000000}"/>
    <cellStyle name="40% - Accent1 22" xfId="163" xr:uid="{00000000-0005-0000-0000-0000A6000000}"/>
    <cellStyle name="40% - Accent1 23" xfId="164" xr:uid="{00000000-0005-0000-0000-0000A7000000}"/>
    <cellStyle name="40% - Accent1 24" xfId="165" xr:uid="{00000000-0005-0000-0000-0000A8000000}"/>
    <cellStyle name="40% - Accent1 25" xfId="166" xr:uid="{00000000-0005-0000-0000-0000A9000000}"/>
    <cellStyle name="40% - Accent1 26" xfId="167" xr:uid="{00000000-0005-0000-0000-0000AA000000}"/>
    <cellStyle name="40% - Accent1 27" xfId="168" xr:uid="{00000000-0005-0000-0000-0000AB000000}"/>
    <cellStyle name="40% - Accent1 28" xfId="169" xr:uid="{00000000-0005-0000-0000-0000AC000000}"/>
    <cellStyle name="40% - Accent1 29" xfId="170" xr:uid="{00000000-0005-0000-0000-0000AD000000}"/>
    <cellStyle name="40% - Accent1 3" xfId="171" xr:uid="{00000000-0005-0000-0000-0000AE000000}"/>
    <cellStyle name="40% - Accent1 4" xfId="172" xr:uid="{00000000-0005-0000-0000-0000AF000000}"/>
    <cellStyle name="40% - Accent1 5" xfId="173" xr:uid="{00000000-0005-0000-0000-0000B0000000}"/>
    <cellStyle name="40% - Accent1 6" xfId="174" xr:uid="{00000000-0005-0000-0000-0000B1000000}"/>
    <cellStyle name="40% - Accent1 7" xfId="175" xr:uid="{00000000-0005-0000-0000-0000B2000000}"/>
    <cellStyle name="40% - Accent1 8" xfId="176" xr:uid="{00000000-0005-0000-0000-0000B3000000}"/>
    <cellStyle name="40% - Accent1 9" xfId="177" xr:uid="{00000000-0005-0000-0000-0000B4000000}"/>
    <cellStyle name="40% - Accent2" xfId="178" xr:uid="{00000000-0005-0000-0000-0000B5000000}"/>
    <cellStyle name="40% - Accent3" xfId="179" xr:uid="{00000000-0005-0000-0000-0000B6000000}"/>
    <cellStyle name="40% - Accent3 10" xfId="180" xr:uid="{00000000-0005-0000-0000-0000B7000000}"/>
    <cellStyle name="40% - Accent3 11" xfId="181" xr:uid="{00000000-0005-0000-0000-0000B8000000}"/>
    <cellStyle name="40% - Accent3 12" xfId="182" xr:uid="{00000000-0005-0000-0000-0000B9000000}"/>
    <cellStyle name="40% - Accent3 13" xfId="183" xr:uid="{00000000-0005-0000-0000-0000BA000000}"/>
    <cellStyle name="40% - Accent3 14" xfId="184" xr:uid="{00000000-0005-0000-0000-0000BB000000}"/>
    <cellStyle name="40% - Accent3 15" xfId="185" xr:uid="{00000000-0005-0000-0000-0000BC000000}"/>
    <cellStyle name="40% - Accent3 16" xfId="186" xr:uid="{00000000-0005-0000-0000-0000BD000000}"/>
    <cellStyle name="40% - Accent3 17" xfId="187" xr:uid="{00000000-0005-0000-0000-0000BE000000}"/>
    <cellStyle name="40% - Accent3 18" xfId="188" xr:uid="{00000000-0005-0000-0000-0000BF000000}"/>
    <cellStyle name="40% - Accent3 19" xfId="189" xr:uid="{00000000-0005-0000-0000-0000C0000000}"/>
    <cellStyle name="40% - Accent3 2" xfId="190" xr:uid="{00000000-0005-0000-0000-0000C1000000}"/>
    <cellStyle name="40% - Accent3 20" xfId="191" xr:uid="{00000000-0005-0000-0000-0000C2000000}"/>
    <cellStyle name="40% - Accent3 21" xfId="192" xr:uid="{00000000-0005-0000-0000-0000C3000000}"/>
    <cellStyle name="40% - Accent3 22" xfId="193" xr:uid="{00000000-0005-0000-0000-0000C4000000}"/>
    <cellStyle name="40% - Accent3 23" xfId="194" xr:uid="{00000000-0005-0000-0000-0000C5000000}"/>
    <cellStyle name="40% - Accent3 24" xfId="195" xr:uid="{00000000-0005-0000-0000-0000C6000000}"/>
    <cellStyle name="40% - Accent3 25" xfId="196" xr:uid="{00000000-0005-0000-0000-0000C7000000}"/>
    <cellStyle name="40% - Accent3 26" xfId="197" xr:uid="{00000000-0005-0000-0000-0000C8000000}"/>
    <cellStyle name="40% - Accent3 27" xfId="198" xr:uid="{00000000-0005-0000-0000-0000C9000000}"/>
    <cellStyle name="40% - Accent3 28" xfId="199" xr:uid="{00000000-0005-0000-0000-0000CA000000}"/>
    <cellStyle name="40% - Accent3 29" xfId="200" xr:uid="{00000000-0005-0000-0000-0000CB000000}"/>
    <cellStyle name="40% - Accent3 3" xfId="201" xr:uid="{00000000-0005-0000-0000-0000CC000000}"/>
    <cellStyle name="40% - Accent3 4" xfId="202" xr:uid="{00000000-0005-0000-0000-0000CD000000}"/>
    <cellStyle name="40% - Accent3 5" xfId="203" xr:uid="{00000000-0005-0000-0000-0000CE000000}"/>
    <cellStyle name="40% - Accent3 6" xfId="204" xr:uid="{00000000-0005-0000-0000-0000CF000000}"/>
    <cellStyle name="40% - Accent3 7" xfId="205" xr:uid="{00000000-0005-0000-0000-0000D0000000}"/>
    <cellStyle name="40% - Accent3 8" xfId="206" xr:uid="{00000000-0005-0000-0000-0000D1000000}"/>
    <cellStyle name="40% - Accent3 9" xfId="207" xr:uid="{00000000-0005-0000-0000-0000D2000000}"/>
    <cellStyle name="40% - Accent4" xfId="208" xr:uid="{00000000-0005-0000-0000-0000D3000000}"/>
    <cellStyle name="40% - Accent4 10" xfId="209" xr:uid="{00000000-0005-0000-0000-0000D4000000}"/>
    <cellStyle name="40% - Accent4 11" xfId="210" xr:uid="{00000000-0005-0000-0000-0000D5000000}"/>
    <cellStyle name="40% - Accent4 12" xfId="211" xr:uid="{00000000-0005-0000-0000-0000D6000000}"/>
    <cellStyle name="40% - Accent4 13" xfId="212" xr:uid="{00000000-0005-0000-0000-0000D7000000}"/>
    <cellStyle name="40% - Accent4 14" xfId="213" xr:uid="{00000000-0005-0000-0000-0000D8000000}"/>
    <cellStyle name="40% - Accent4 15" xfId="214" xr:uid="{00000000-0005-0000-0000-0000D9000000}"/>
    <cellStyle name="40% - Accent4 16" xfId="215" xr:uid="{00000000-0005-0000-0000-0000DA000000}"/>
    <cellStyle name="40% - Accent4 17" xfId="216" xr:uid="{00000000-0005-0000-0000-0000DB000000}"/>
    <cellStyle name="40% - Accent4 18" xfId="217" xr:uid="{00000000-0005-0000-0000-0000DC000000}"/>
    <cellStyle name="40% - Accent4 19" xfId="218" xr:uid="{00000000-0005-0000-0000-0000DD000000}"/>
    <cellStyle name="40% - Accent4 2" xfId="219" xr:uid="{00000000-0005-0000-0000-0000DE000000}"/>
    <cellStyle name="40% - Accent4 20" xfId="220" xr:uid="{00000000-0005-0000-0000-0000DF000000}"/>
    <cellStyle name="40% - Accent4 21" xfId="221" xr:uid="{00000000-0005-0000-0000-0000E0000000}"/>
    <cellStyle name="40% - Accent4 22" xfId="222" xr:uid="{00000000-0005-0000-0000-0000E1000000}"/>
    <cellStyle name="40% - Accent4 23" xfId="223" xr:uid="{00000000-0005-0000-0000-0000E2000000}"/>
    <cellStyle name="40% - Accent4 24" xfId="224" xr:uid="{00000000-0005-0000-0000-0000E3000000}"/>
    <cellStyle name="40% - Accent4 25" xfId="225" xr:uid="{00000000-0005-0000-0000-0000E4000000}"/>
    <cellStyle name="40% - Accent4 26" xfId="226" xr:uid="{00000000-0005-0000-0000-0000E5000000}"/>
    <cellStyle name="40% - Accent4 27" xfId="227" xr:uid="{00000000-0005-0000-0000-0000E6000000}"/>
    <cellStyle name="40% - Accent4 28" xfId="228" xr:uid="{00000000-0005-0000-0000-0000E7000000}"/>
    <cellStyle name="40% - Accent4 29" xfId="229" xr:uid="{00000000-0005-0000-0000-0000E8000000}"/>
    <cellStyle name="40% - Accent4 3" xfId="230" xr:uid="{00000000-0005-0000-0000-0000E9000000}"/>
    <cellStyle name="40% - Accent4 4" xfId="231" xr:uid="{00000000-0005-0000-0000-0000EA000000}"/>
    <cellStyle name="40% - Accent4 5" xfId="232" xr:uid="{00000000-0005-0000-0000-0000EB000000}"/>
    <cellStyle name="40% - Accent4 6" xfId="233" xr:uid="{00000000-0005-0000-0000-0000EC000000}"/>
    <cellStyle name="40% - Accent4 7" xfId="234" xr:uid="{00000000-0005-0000-0000-0000ED000000}"/>
    <cellStyle name="40% - Accent4 8" xfId="235" xr:uid="{00000000-0005-0000-0000-0000EE000000}"/>
    <cellStyle name="40% - Accent4 9" xfId="236" xr:uid="{00000000-0005-0000-0000-0000EF000000}"/>
    <cellStyle name="40% - Accent5" xfId="237" xr:uid="{00000000-0005-0000-0000-0000F0000000}"/>
    <cellStyle name="40% - Accent5 10" xfId="238" xr:uid="{00000000-0005-0000-0000-0000F1000000}"/>
    <cellStyle name="40% - Accent5 11" xfId="239" xr:uid="{00000000-0005-0000-0000-0000F2000000}"/>
    <cellStyle name="40% - Accent5 12" xfId="240" xr:uid="{00000000-0005-0000-0000-0000F3000000}"/>
    <cellStyle name="40% - Accent5 13" xfId="241" xr:uid="{00000000-0005-0000-0000-0000F4000000}"/>
    <cellStyle name="40% - Accent5 14" xfId="242" xr:uid="{00000000-0005-0000-0000-0000F5000000}"/>
    <cellStyle name="40% - Accent5 15" xfId="243" xr:uid="{00000000-0005-0000-0000-0000F6000000}"/>
    <cellStyle name="40% - Accent5 16" xfId="244" xr:uid="{00000000-0005-0000-0000-0000F7000000}"/>
    <cellStyle name="40% - Accent5 17" xfId="245" xr:uid="{00000000-0005-0000-0000-0000F8000000}"/>
    <cellStyle name="40% - Accent5 18" xfId="246" xr:uid="{00000000-0005-0000-0000-0000F9000000}"/>
    <cellStyle name="40% - Accent5 19" xfId="247" xr:uid="{00000000-0005-0000-0000-0000FA000000}"/>
    <cellStyle name="40% - Accent5 2" xfId="248" xr:uid="{00000000-0005-0000-0000-0000FB000000}"/>
    <cellStyle name="40% - Accent5 20" xfId="249" xr:uid="{00000000-0005-0000-0000-0000FC000000}"/>
    <cellStyle name="40% - Accent5 21" xfId="250" xr:uid="{00000000-0005-0000-0000-0000FD000000}"/>
    <cellStyle name="40% - Accent5 22" xfId="251" xr:uid="{00000000-0005-0000-0000-0000FE000000}"/>
    <cellStyle name="40% - Accent5 23" xfId="252" xr:uid="{00000000-0005-0000-0000-0000FF000000}"/>
    <cellStyle name="40% - Accent5 24" xfId="253" xr:uid="{00000000-0005-0000-0000-000000010000}"/>
    <cellStyle name="40% - Accent5 25" xfId="254" xr:uid="{00000000-0005-0000-0000-000001010000}"/>
    <cellStyle name="40% - Accent5 26" xfId="255" xr:uid="{00000000-0005-0000-0000-000002010000}"/>
    <cellStyle name="40% - Accent5 27" xfId="256" xr:uid="{00000000-0005-0000-0000-000003010000}"/>
    <cellStyle name="40% - Accent5 28" xfId="257" xr:uid="{00000000-0005-0000-0000-000004010000}"/>
    <cellStyle name="40% - Accent5 29" xfId="258" xr:uid="{00000000-0005-0000-0000-000005010000}"/>
    <cellStyle name="40% - Accent5 3" xfId="259" xr:uid="{00000000-0005-0000-0000-000006010000}"/>
    <cellStyle name="40% - Accent5 4" xfId="260" xr:uid="{00000000-0005-0000-0000-000007010000}"/>
    <cellStyle name="40% - Accent5 5" xfId="261" xr:uid="{00000000-0005-0000-0000-000008010000}"/>
    <cellStyle name="40% - Accent5 6" xfId="262" xr:uid="{00000000-0005-0000-0000-000009010000}"/>
    <cellStyle name="40% - Accent5 7" xfId="263" xr:uid="{00000000-0005-0000-0000-00000A010000}"/>
    <cellStyle name="40% - Accent5 8" xfId="264" xr:uid="{00000000-0005-0000-0000-00000B010000}"/>
    <cellStyle name="40% - Accent5 9" xfId="265" xr:uid="{00000000-0005-0000-0000-00000C010000}"/>
    <cellStyle name="40% - Accent6" xfId="266" xr:uid="{00000000-0005-0000-0000-00000D010000}"/>
    <cellStyle name="40% - Accent6 10" xfId="267" xr:uid="{00000000-0005-0000-0000-00000E010000}"/>
    <cellStyle name="40% - Accent6 11" xfId="268" xr:uid="{00000000-0005-0000-0000-00000F010000}"/>
    <cellStyle name="40% - Accent6 12" xfId="269" xr:uid="{00000000-0005-0000-0000-000010010000}"/>
    <cellStyle name="40% - Accent6 13" xfId="270" xr:uid="{00000000-0005-0000-0000-000011010000}"/>
    <cellStyle name="40% - Accent6 14" xfId="271" xr:uid="{00000000-0005-0000-0000-000012010000}"/>
    <cellStyle name="40% - Accent6 15" xfId="272" xr:uid="{00000000-0005-0000-0000-000013010000}"/>
    <cellStyle name="40% - Accent6 16" xfId="273" xr:uid="{00000000-0005-0000-0000-000014010000}"/>
    <cellStyle name="40% - Accent6 17" xfId="274" xr:uid="{00000000-0005-0000-0000-000015010000}"/>
    <cellStyle name="40% - Accent6 18" xfId="275" xr:uid="{00000000-0005-0000-0000-000016010000}"/>
    <cellStyle name="40% - Accent6 19" xfId="276" xr:uid="{00000000-0005-0000-0000-000017010000}"/>
    <cellStyle name="40% - Accent6 2" xfId="277" xr:uid="{00000000-0005-0000-0000-000018010000}"/>
    <cellStyle name="40% - Accent6 20" xfId="278" xr:uid="{00000000-0005-0000-0000-000019010000}"/>
    <cellStyle name="40% - Accent6 21" xfId="279" xr:uid="{00000000-0005-0000-0000-00001A010000}"/>
    <cellStyle name="40% - Accent6 22" xfId="280" xr:uid="{00000000-0005-0000-0000-00001B010000}"/>
    <cellStyle name="40% - Accent6 23" xfId="281" xr:uid="{00000000-0005-0000-0000-00001C010000}"/>
    <cellStyle name="40% - Accent6 24" xfId="282" xr:uid="{00000000-0005-0000-0000-00001D010000}"/>
    <cellStyle name="40% - Accent6 25" xfId="283" xr:uid="{00000000-0005-0000-0000-00001E010000}"/>
    <cellStyle name="40% - Accent6 26" xfId="284" xr:uid="{00000000-0005-0000-0000-00001F010000}"/>
    <cellStyle name="40% - Accent6 27" xfId="285" xr:uid="{00000000-0005-0000-0000-000020010000}"/>
    <cellStyle name="40% - Accent6 28" xfId="286" xr:uid="{00000000-0005-0000-0000-000021010000}"/>
    <cellStyle name="40% - Accent6 29" xfId="287" xr:uid="{00000000-0005-0000-0000-000022010000}"/>
    <cellStyle name="40% - Accent6 3" xfId="288" xr:uid="{00000000-0005-0000-0000-000023010000}"/>
    <cellStyle name="40% - Accent6 4" xfId="289" xr:uid="{00000000-0005-0000-0000-000024010000}"/>
    <cellStyle name="40% - Accent6 5" xfId="290" xr:uid="{00000000-0005-0000-0000-000025010000}"/>
    <cellStyle name="40% - Accent6 6" xfId="291" xr:uid="{00000000-0005-0000-0000-000026010000}"/>
    <cellStyle name="40% - Accent6 7" xfId="292" xr:uid="{00000000-0005-0000-0000-000027010000}"/>
    <cellStyle name="40% - Accent6 8" xfId="293" xr:uid="{00000000-0005-0000-0000-000028010000}"/>
    <cellStyle name="40% - Accent6 9" xfId="294" xr:uid="{00000000-0005-0000-0000-000029010000}"/>
    <cellStyle name="60% - Accent1" xfId="295" xr:uid="{00000000-0005-0000-0000-00002A010000}"/>
    <cellStyle name="60% - Accent1 10" xfId="296" xr:uid="{00000000-0005-0000-0000-00002B010000}"/>
    <cellStyle name="60% - Accent1 11" xfId="297" xr:uid="{00000000-0005-0000-0000-00002C010000}"/>
    <cellStyle name="60% - Accent1 12" xfId="298" xr:uid="{00000000-0005-0000-0000-00002D010000}"/>
    <cellStyle name="60% - Accent1 13" xfId="299" xr:uid="{00000000-0005-0000-0000-00002E010000}"/>
    <cellStyle name="60% - Accent1 14" xfId="300" xr:uid="{00000000-0005-0000-0000-00002F010000}"/>
    <cellStyle name="60% - Accent1 15" xfId="301" xr:uid="{00000000-0005-0000-0000-000030010000}"/>
    <cellStyle name="60% - Accent1 16" xfId="302" xr:uid="{00000000-0005-0000-0000-000031010000}"/>
    <cellStyle name="60% - Accent1 17" xfId="303" xr:uid="{00000000-0005-0000-0000-000032010000}"/>
    <cellStyle name="60% - Accent1 18" xfId="304" xr:uid="{00000000-0005-0000-0000-000033010000}"/>
    <cellStyle name="60% - Accent1 19" xfId="305" xr:uid="{00000000-0005-0000-0000-000034010000}"/>
    <cellStyle name="60% - Accent1 2" xfId="306" xr:uid="{00000000-0005-0000-0000-000035010000}"/>
    <cellStyle name="60% - Accent1 20" xfId="307" xr:uid="{00000000-0005-0000-0000-000036010000}"/>
    <cellStyle name="60% - Accent1 21" xfId="308" xr:uid="{00000000-0005-0000-0000-000037010000}"/>
    <cellStyle name="60% - Accent1 22" xfId="309" xr:uid="{00000000-0005-0000-0000-000038010000}"/>
    <cellStyle name="60% - Accent1 23" xfId="310" xr:uid="{00000000-0005-0000-0000-000039010000}"/>
    <cellStyle name="60% - Accent1 24" xfId="311" xr:uid="{00000000-0005-0000-0000-00003A010000}"/>
    <cellStyle name="60% - Accent1 25" xfId="312" xr:uid="{00000000-0005-0000-0000-00003B010000}"/>
    <cellStyle name="60% - Accent1 26" xfId="313" xr:uid="{00000000-0005-0000-0000-00003C010000}"/>
    <cellStyle name="60% - Accent1 27" xfId="314" xr:uid="{00000000-0005-0000-0000-00003D010000}"/>
    <cellStyle name="60% - Accent1 28" xfId="315" xr:uid="{00000000-0005-0000-0000-00003E010000}"/>
    <cellStyle name="60% - Accent1 29" xfId="316" xr:uid="{00000000-0005-0000-0000-00003F010000}"/>
    <cellStyle name="60% - Accent1 3" xfId="317" xr:uid="{00000000-0005-0000-0000-000040010000}"/>
    <cellStyle name="60% - Accent1 4" xfId="318" xr:uid="{00000000-0005-0000-0000-000041010000}"/>
    <cellStyle name="60% - Accent1 5" xfId="319" xr:uid="{00000000-0005-0000-0000-000042010000}"/>
    <cellStyle name="60% - Accent1 6" xfId="320" xr:uid="{00000000-0005-0000-0000-000043010000}"/>
    <cellStyle name="60% - Accent1 7" xfId="321" xr:uid="{00000000-0005-0000-0000-000044010000}"/>
    <cellStyle name="60% - Accent1 8" xfId="322" xr:uid="{00000000-0005-0000-0000-000045010000}"/>
    <cellStyle name="60% - Accent1 9" xfId="323" xr:uid="{00000000-0005-0000-0000-000046010000}"/>
    <cellStyle name="60% - Accent2" xfId="324" xr:uid="{00000000-0005-0000-0000-000047010000}"/>
    <cellStyle name="60% - Accent2 10" xfId="325" xr:uid="{00000000-0005-0000-0000-000048010000}"/>
    <cellStyle name="60% - Accent2 11" xfId="326" xr:uid="{00000000-0005-0000-0000-000049010000}"/>
    <cellStyle name="60% - Accent2 12" xfId="327" xr:uid="{00000000-0005-0000-0000-00004A010000}"/>
    <cellStyle name="60% - Accent2 13" xfId="328" xr:uid="{00000000-0005-0000-0000-00004B010000}"/>
    <cellStyle name="60% - Accent2 14" xfId="329" xr:uid="{00000000-0005-0000-0000-00004C010000}"/>
    <cellStyle name="60% - Accent2 15" xfId="330" xr:uid="{00000000-0005-0000-0000-00004D010000}"/>
    <cellStyle name="60% - Accent2 16" xfId="331" xr:uid="{00000000-0005-0000-0000-00004E010000}"/>
    <cellStyle name="60% - Accent2 17" xfId="332" xr:uid="{00000000-0005-0000-0000-00004F010000}"/>
    <cellStyle name="60% - Accent2 18" xfId="333" xr:uid="{00000000-0005-0000-0000-000050010000}"/>
    <cellStyle name="60% - Accent2 19" xfId="334" xr:uid="{00000000-0005-0000-0000-000051010000}"/>
    <cellStyle name="60% - Accent2 2" xfId="335" xr:uid="{00000000-0005-0000-0000-000052010000}"/>
    <cellStyle name="60% - Accent2 20" xfId="336" xr:uid="{00000000-0005-0000-0000-000053010000}"/>
    <cellStyle name="60% - Accent2 21" xfId="337" xr:uid="{00000000-0005-0000-0000-000054010000}"/>
    <cellStyle name="60% - Accent2 22" xfId="338" xr:uid="{00000000-0005-0000-0000-000055010000}"/>
    <cellStyle name="60% - Accent2 23" xfId="339" xr:uid="{00000000-0005-0000-0000-000056010000}"/>
    <cellStyle name="60% - Accent2 24" xfId="340" xr:uid="{00000000-0005-0000-0000-000057010000}"/>
    <cellStyle name="60% - Accent2 25" xfId="341" xr:uid="{00000000-0005-0000-0000-000058010000}"/>
    <cellStyle name="60% - Accent2 26" xfId="342" xr:uid="{00000000-0005-0000-0000-000059010000}"/>
    <cellStyle name="60% - Accent2 27" xfId="343" xr:uid="{00000000-0005-0000-0000-00005A010000}"/>
    <cellStyle name="60% - Accent2 28" xfId="344" xr:uid="{00000000-0005-0000-0000-00005B010000}"/>
    <cellStyle name="60% - Accent2 29" xfId="345" xr:uid="{00000000-0005-0000-0000-00005C010000}"/>
    <cellStyle name="60% - Accent2 3" xfId="346" xr:uid="{00000000-0005-0000-0000-00005D010000}"/>
    <cellStyle name="60% - Accent2 4" xfId="347" xr:uid="{00000000-0005-0000-0000-00005E010000}"/>
    <cellStyle name="60% - Accent2 5" xfId="348" xr:uid="{00000000-0005-0000-0000-00005F010000}"/>
    <cellStyle name="60% - Accent2 6" xfId="349" xr:uid="{00000000-0005-0000-0000-000060010000}"/>
    <cellStyle name="60% - Accent2 7" xfId="350" xr:uid="{00000000-0005-0000-0000-000061010000}"/>
    <cellStyle name="60% - Accent2 8" xfId="351" xr:uid="{00000000-0005-0000-0000-000062010000}"/>
    <cellStyle name="60% - Accent2 9" xfId="352" xr:uid="{00000000-0005-0000-0000-000063010000}"/>
    <cellStyle name="60% - Accent3" xfId="353" xr:uid="{00000000-0005-0000-0000-000064010000}"/>
    <cellStyle name="60% - Accent3 10" xfId="354" xr:uid="{00000000-0005-0000-0000-000065010000}"/>
    <cellStyle name="60% - Accent3 11" xfId="355" xr:uid="{00000000-0005-0000-0000-000066010000}"/>
    <cellStyle name="60% - Accent3 12" xfId="356" xr:uid="{00000000-0005-0000-0000-000067010000}"/>
    <cellStyle name="60% - Accent3 13" xfId="357" xr:uid="{00000000-0005-0000-0000-000068010000}"/>
    <cellStyle name="60% - Accent3 14" xfId="358" xr:uid="{00000000-0005-0000-0000-000069010000}"/>
    <cellStyle name="60% - Accent3 15" xfId="359" xr:uid="{00000000-0005-0000-0000-00006A010000}"/>
    <cellStyle name="60% - Accent3 16" xfId="360" xr:uid="{00000000-0005-0000-0000-00006B010000}"/>
    <cellStyle name="60% - Accent3 17" xfId="361" xr:uid="{00000000-0005-0000-0000-00006C010000}"/>
    <cellStyle name="60% - Accent3 18" xfId="362" xr:uid="{00000000-0005-0000-0000-00006D010000}"/>
    <cellStyle name="60% - Accent3 19" xfId="363" xr:uid="{00000000-0005-0000-0000-00006E010000}"/>
    <cellStyle name="60% - Accent3 2" xfId="364" xr:uid="{00000000-0005-0000-0000-00006F010000}"/>
    <cellStyle name="60% - Accent3 20" xfId="365" xr:uid="{00000000-0005-0000-0000-000070010000}"/>
    <cellStyle name="60% - Accent3 21" xfId="366" xr:uid="{00000000-0005-0000-0000-000071010000}"/>
    <cellStyle name="60% - Accent3 22" xfId="367" xr:uid="{00000000-0005-0000-0000-000072010000}"/>
    <cellStyle name="60% - Accent3 23" xfId="368" xr:uid="{00000000-0005-0000-0000-000073010000}"/>
    <cellStyle name="60% - Accent3 24" xfId="369" xr:uid="{00000000-0005-0000-0000-000074010000}"/>
    <cellStyle name="60% - Accent3 25" xfId="370" xr:uid="{00000000-0005-0000-0000-000075010000}"/>
    <cellStyle name="60% - Accent3 26" xfId="371" xr:uid="{00000000-0005-0000-0000-000076010000}"/>
    <cellStyle name="60% - Accent3 27" xfId="372" xr:uid="{00000000-0005-0000-0000-000077010000}"/>
    <cellStyle name="60% - Accent3 28" xfId="373" xr:uid="{00000000-0005-0000-0000-000078010000}"/>
    <cellStyle name="60% - Accent3 29" xfId="374" xr:uid="{00000000-0005-0000-0000-000079010000}"/>
    <cellStyle name="60% - Accent3 3" xfId="375" xr:uid="{00000000-0005-0000-0000-00007A010000}"/>
    <cellStyle name="60% - Accent3 4" xfId="376" xr:uid="{00000000-0005-0000-0000-00007B010000}"/>
    <cellStyle name="60% - Accent3 5" xfId="377" xr:uid="{00000000-0005-0000-0000-00007C010000}"/>
    <cellStyle name="60% - Accent3 6" xfId="378" xr:uid="{00000000-0005-0000-0000-00007D010000}"/>
    <cellStyle name="60% - Accent3 7" xfId="379" xr:uid="{00000000-0005-0000-0000-00007E010000}"/>
    <cellStyle name="60% - Accent3 8" xfId="380" xr:uid="{00000000-0005-0000-0000-00007F010000}"/>
    <cellStyle name="60% - Accent3 9" xfId="381" xr:uid="{00000000-0005-0000-0000-000080010000}"/>
    <cellStyle name="60% - Accent4" xfId="382" xr:uid="{00000000-0005-0000-0000-000081010000}"/>
    <cellStyle name="60% - Accent4 10" xfId="383" xr:uid="{00000000-0005-0000-0000-000082010000}"/>
    <cellStyle name="60% - Accent4 11" xfId="384" xr:uid="{00000000-0005-0000-0000-000083010000}"/>
    <cellStyle name="60% - Accent4 12" xfId="385" xr:uid="{00000000-0005-0000-0000-000084010000}"/>
    <cellStyle name="60% - Accent4 13" xfId="386" xr:uid="{00000000-0005-0000-0000-000085010000}"/>
    <cellStyle name="60% - Accent4 14" xfId="387" xr:uid="{00000000-0005-0000-0000-000086010000}"/>
    <cellStyle name="60% - Accent4 15" xfId="388" xr:uid="{00000000-0005-0000-0000-000087010000}"/>
    <cellStyle name="60% - Accent4 16" xfId="389" xr:uid="{00000000-0005-0000-0000-000088010000}"/>
    <cellStyle name="60% - Accent4 17" xfId="390" xr:uid="{00000000-0005-0000-0000-000089010000}"/>
    <cellStyle name="60% - Accent4 18" xfId="391" xr:uid="{00000000-0005-0000-0000-00008A010000}"/>
    <cellStyle name="60% - Accent4 19" xfId="392" xr:uid="{00000000-0005-0000-0000-00008B010000}"/>
    <cellStyle name="60% - Accent4 2" xfId="393" xr:uid="{00000000-0005-0000-0000-00008C010000}"/>
    <cellStyle name="60% - Accent4 20" xfId="394" xr:uid="{00000000-0005-0000-0000-00008D010000}"/>
    <cellStyle name="60% - Accent4 21" xfId="395" xr:uid="{00000000-0005-0000-0000-00008E010000}"/>
    <cellStyle name="60% - Accent4 22" xfId="396" xr:uid="{00000000-0005-0000-0000-00008F010000}"/>
    <cellStyle name="60% - Accent4 23" xfId="397" xr:uid="{00000000-0005-0000-0000-000090010000}"/>
    <cellStyle name="60% - Accent4 24" xfId="398" xr:uid="{00000000-0005-0000-0000-000091010000}"/>
    <cellStyle name="60% - Accent4 25" xfId="399" xr:uid="{00000000-0005-0000-0000-000092010000}"/>
    <cellStyle name="60% - Accent4 26" xfId="400" xr:uid="{00000000-0005-0000-0000-000093010000}"/>
    <cellStyle name="60% - Accent4 27" xfId="401" xr:uid="{00000000-0005-0000-0000-000094010000}"/>
    <cellStyle name="60% - Accent4 28" xfId="402" xr:uid="{00000000-0005-0000-0000-000095010000}"/>
    <cellStyle name="60% - Accent4 29" xfId="403" xr:uid="{00000000-0005-0000-0000-000096010000}"/>
    <cellStyle name="60% - Accent4 3" xfId="404" xr:uid="{00000000-0005-0000-0000-000097010000}"/>
    <cellStyle name="60% - Accent4 4" xfId="405" xr:uid="{00000000-0005-0000-0000-000098010000}"/>
    <cellStyle name="60% - Accent4 5" xfId="406" xr:uid="{00000000-0005-0000-0000-000099010000}"/>
    <cellStyle name="60% - Accent4 6" xfId="407" xr:uid="{00000000-0005-0000-0000-00009A010000}"/>
    <cellStyle name="60% - Accent4 7" xfId="408" xr:uid="{00000000-0005-0000-0000-00009B010000}"/>
    <cellStyle name="60% - Accent4 8" xfId="409" xr:uid="{00000000-0005-0000-0000-00009C010000}"/>
    <cellStyle name="60% - Accent4 9" xfId="410" xr:uid="{00000000-0005-0000-0000-00009D010000}"/>
    <cellStyle name="60% - Accent5" xfId="411" xr:uid="{00000000-0005-0000-0000-00009E010000}"/>
    <cellStyle name="60% - Accent5 10" xfId="412" xr:uid="{00000000-0005-0000-0000-00009F010000}"/>
    <cellStyle name="60% - Accent5 11" xfId="413" xr:uid="{00000000-0005-0000-0000-0000A0010000}"/>
    <cellStyle name="60% - Accent5 12" xfId="414" xr:uid="{00000000-0005-0000-0000-0000A1010000}"/>
    <cellStyle name="60% - Accent5 13" xfId="415" xr:uid="{00000000-0005-0000-0000-0000A2010000}"/>
    <cellStyle name="60% - Accent5 14" xfId="416" xr:uid="{00000000-0005-0000-0000-0000A3010000}"/>
    <cellStyle name="60% - Accent5 15" xfId="417" xr:uid="{00000000-0005-0000-0000-0000A4010000}"/>
    <cellStyle name="60% - Accent5 16" xfId="418" xr:uid="{00000000-0005-0000-0000-0000A5010000}"/>
    <cellStyle name="60% - Accent5 17" xfId="419" xr:uid="{00000000-0005-0000-0000-0000A6010000}"/>
    <cellStyle name="60% - Accent5 18" xfId="420" xr:uid="{00000000-0005-0000-0000-0000A7010000}"/>
    <cellStyle name="60% - Accent5 19" xfId="421" xr:uid="{00000000-0005-0000-0000-0000A8010000}"/>
    <cellStyle name="60% - Accent5 2" xfId="422" xr:uid="{00000000-0005-0000-0000-0000A9010000}"/>
    <cellStyle name="60% - Accent5 20" xfId="423" xr:uid="{00000000-0005-0000-0000-0000AA010000}"/>
    <cellStyle name="60% - Accent5 21" xfId="424" xr:uid="{00000000-0005-0000-0000-0000AB010000}"/>
    <cellStyle name="60% - Accent5 22" xfId="425" xr:uid="{00000000-0005-0000-0000-0000AC010000}"/>
    <cellStyle name="60% - Accent5 23" xfId="426" xr:uid="{00000000-0005-0000-0000-0000AD010000}"/>
    <cellStyle name="60% - Accent5 24" xfId="427" xr:uid="{00000000-0005-0000-0000-0000AE010000}"/>
    <cellStyle name="60% - Accent5 25" xfId="428" xr:uid="{00000000-0005-0000-0000-0000AF010000}"/>
    <cellStyle name="60% - Accent5 26" xfId="429" xr:uid="{00000000-0005-0000-0000-0000B0010000}"/>
    <cellStyle name="60% - Accent5 27" xfId="430" xr:uid="{00000000-0005-0000-0000-0000B1010000}"/>
    <cellStyle name="60% - Accent5 28" xfId="431" xr:uid="{00000000-0005-0000-0000-0000B2010000}"/>
    <cellStyle name="60% - Accent5 29" xfId="432" xr:uid="{00000000-0005-0000-0000-0000B3010000}"/>
    <cellStyle name="60% - Accent5 3" xfId="433" xr:uid="{00000000-0005-0000-0000-0000B4010000}"/>
    <cellStyle name="60% - Accent5 4" xfId="434" xr:uid="{00000000-0005-0000-0000-0000B5010000}"/>
    <cellStyle name="60% - Accent5 5" xfId="435" xr:uid="{00000000-0005-0000-0000-0000B6010000}"/>
    <cellStyle name="60% - Accent5 6" xfId="436" xr:uid="{00000000-0005-0000-0000-0000B7010000}"/>
    <cellStyle name="60% - Accent5 7" xfId="437" xr:uid="{00000000-0005-0000-0000-0000B8010000}"/>
    <cellStyle name="60% - Accent5 8" xfId="438" xr:uid="{00000000-0005-0000-0000-0000B9010000}"/>
    <cellStyle name="60% - Accent5 9" xfId="439" xr:uid="{00000000-0005-0000-0000-0000BA010000}"/>
    <cellStyle name="60% - Accent6" xfId="440" xr:uid="{00000000-0005-0000-0000-0000BB010000}"/>
    <cellStyle name="60% - Accent6 10" xfId="441" xr:uid="{00000000-0005-0000-0000-0000BC010000}"/>
    <cellStyle name="60% - Accent6 11" xfId="442" xr:uid="{00000000-0005-0000-0000-0000BD010000}"/>
    <cellStyle name="60% - Accent6 12" xfId="443" xr:uid="{00000000-0005-0000-0000-0000BE010000}"/>
    <cellStyle name="60% - Accent6 13" xfId="444" xr:uid="{00000000-0005-0000-0000-0000BF010000}"/>
    <cellStyle name="60% - Accent6 14" xfId="445" xr:uid="{00000000-0005-0000-0000-0000C0010000}"/>
    <cellStyle name="60% - Accent6 15" xfId="446" xr:uid="{00000000-0005-0000-0000-0000C1010000}"/>
    <cellStyle name="60% - Accent6 16" xfId="447" xr:uid="{00000000-0005-0000-0000-0000C2010000}"/>
    <cellStyle name="60% - Accent6 17" xfId="448" xr:uid="{00000000-0005-0000-0000-0000C3010000}"/>
    <cellStyle name="60% - Accent6 18" xfId="449" xr:uid="{00000000-0005-0000-0000-0000C4010000}"/>
    <cellStyle name="60% - Accent6 19" xfId="450" xr:uid="{00000000-0005-0000-0000-0000C5010000}"/>
    <cellStyle name="60% - Accent6 2" xfId="451" xr:uid="{00000000-0005-0000-0000-0000C6010000}"/>
    <cellStyle name="60% - Accent6 20" xfId="452" xr:uid="{00000000-0005-0000-0000-0000C7010000}"/>
    <cellStyle name="60% - Accent6 21" xfId="453" xr:uid="{00000000-0005-0000-0000-0000C8010000}"/>
    <cellStyle name="60% - Accent6 22" xfId="454" xr:uid="{00000000-0005-0000-0000-0000C9010000}"/>
    <cellStyle name="60% - Accent6 23" xfId="455" xr:uid="{00000000-0005-0000-0000-0000CA010000}"/>
    <cellStyle name="60% - Accent6 24" xfId="456" xr:uid="{00000000-0005-0000-0000-0000CB010000}"/>
    <cellStyle name="60% - Accent6 25" xfId="457" xr:uid="{00000000-0005-0000-0000-0000CC010000}"/>
    <cellStyle name="60% - Accent6 26" xfId="458" xr:uid="{00000000-0005-0000-0000-0000CD010000}"/>
    <cellStyle name="60% - Accent6 27" xfId="459" xr:uid="{00000000-0005-0000-0000-0000CE010000}"/>
    <cellStyle name="60% - Accent6 28" xfId="460" xr:uid="{00000000-0005-0000-0000-0000CF010000}"/>
    <cellStyle name="60% - Accent6 29" xfId="461" xr:uid="{00000000-0005-0000-0000-0000D0010000}"/>
    <cellStyle name="60% - Accent6 3" xfId="462" xr:uid="{00000000-0005-0000-0000-0000D1010000}"/>
    <cellStyle name="60% - Accent6 4" xfId="463" xr:uid="{00000000-0005-0000-0000-0000D2010000}"/>
    <cellStyle name="60% - Accent6 5" xfId="464" xr:uid="{00000000-0005-0000-0000-0000D3010000}"/>
    <cellStyle name="60% - Accent6 6" xfId="465" xr:uid="{00000000-0005-0000-0000-0000D4010000}"/>
    <cellStyle name="60% - Accent6 7" xfId="466" xr:uid="{00000000-0005-0000-0000-0000D5010000}"/>
    <cellStyle name="60% - Accent6 8" xfId="467" xr:uid="{00000000-0005-0000-0000-0000D6010000}"/>
    <cellStyle name="60% - Accent6 9" xfId="468" xr:uid="{00000000-0005-0000-0000-0000D7010000}"/>
    <cellStyle name="Accent1" xfId="470" xr:uid="{00000000-0005-0000-0000-0000D9010000}"/>
    <cellStyle name="Accent1 10" xfId="471" xr:uid="{00000000-0005-0000-0000-0000DA010000}"/>
    <cellStyle name="Accent1 11" xfId="472" xr:uid="{00000000-0005-0000-0000-0000DB010000}"/>
    <cellStyle name="Accent1 12" xfId="473" xr:uid="{00000000-0005-0000-0000-0000DC010000}"/>
    <cellStyle name="Accent1 13" xfId="474" xr:uid="{00000000-0005-0000-0000-0000DD010000}"/>
    <cellStyle name="Accent1 14" xfId="475" xr:uid="{00000000-0005-0000-0000-0000DE010000}"/>
    <cellStyle name="Accent1 15" xfId="476" xr:uid="{00000000-0005-0000-0000-0000DF010000}"/>
    <cellStyle name="Accent1 16" xfId="477" xr:uid="{00000000-0005-0000-0000-0000E0010000}"/>
    <cellStyle name="Accent1 17" xfId="478" xr:uid="{00000000-0005-0000-0000-0000E1010000}"/>
    <cellStyle name="Accent1 18" xfId="479" xr:uid="{00000000-0005-0000-0000-0000E2010000}"/>
    <cellStyle name="Accent1 19" xfId="480" xr:uid="{00000000-0005-0000-0000-0000E3010000}"/>
    <cellStyle name="Accent1 2" xfId="481" xr:uid="{00000000-0005-0000-0000-0000E4010000}"/>
    <cellStyle name="Accent1 20" xfId="482" xr:uid="{00000000-0005-0000-0000-0000E5010000}"/>
    <cellStyle name="Accent1 21" xfId="483" xr:uid="{00000000-0005-0000-0000-0000E6010000}"/>
    <cellStyle name="Accent1 22" xfId="484" xr:uid="{00000000-0005-0000-0000-0000E7010000}"/>
    <cellStyle name="Accent1 23" xfId="485" xr:uid="{00000000-0005-0000-0000-0000E8010000}"/>
    <cellStyle name="Accent1 24" xfId="486" xr:uid="{00000000-0005-0000-0000-0000E9010000}"/>
    <cellStyle name="Accent1 25" xfId="487" xr:uid="{00000000-0005-0000-0000-0000EA010000}"/>
    <cellStyle name="Accent1 26" xfId="488" xr:uid="{00000000-0005-0000-0000-0000EB010000}"/>
    <cellStyle name="Accent1 27" xfId="489" xr:uid="{00000000-0005-0000-0000-0000EC010000}"/>
    <cellStyle name="Accent1 28" xfId="490" xr:uid="{00000000-0005-0000-0000-0000ED010000}"/>
    <cellStyle name="Accent1 29" xfId="491" xr:uid="{00000000-0005-0000-0000-0000EE010000}"/>
    <cellStyle name="Accent1 3" xfId="492" xr:uid="{00000000-0005-0000-0000-0000EF010000}"/>
    <cellStyle name="Accent1 4" xfId="493" xr:uid="{00000000-0005-0000-0000-0000F0010000}"/>
    <cellStyle name="Accent1 5" xfId="494" xr:uid="{00000000-0005-0000-0000-0000F1010000}"/>
    <cellStyle name="Accent1 6" xfId="495" xr:uid="{00000000-0005-0000-0000-0000F2010000}"/>
    <cellStyle name="Accent1 7" xfId="496" xr:uid="{00000000-0005-0000-0000-0000F3010000}"/>
    <cellStyle name="Accent1 8" xfId="497" xr:uid="{00000000-0005-0000-0000-0000F4010000}"/>
    <cellStyle name="Accent1 9" xfId="498" xr:uid="{00000000-0005-0000-0000-0000F5010000}"/>
    <cellStyle name="Accent2" xfId="499" xr:uid="{00000000-0005-0000-0000-0000F6010000}"/>
    <cellStyle name="Accent2 10" xfId="500" xr:uid="{00000000-0005-0000-0000-0000F7010000}"/>
    <cellStyle name="Accent2 11" xfId="501" xr:uid="{00000000-0005-0000-0000-0000F8010000}"/>
    <cellStyle name="Accent2 12" xfId="502" xr:uid="{00000000-0005-0000-0000-0000F9010000}"/>
    <cellStyle name="Accent2 13" xfId="503" xr:uid="{00000000-0005-0000-0000-0000FA010000}"/>
    <cellStyle name="Accent2 14" xfId="504" xr:uid="{00000000-0005-0000-0000-0000FB010000}"/>
    <cellStyle name="Accent2 15" xfId="505" xr:uid="{00000000-0005-0000-0000-0000FC010000}"/>
    <cellStyle name="Accent2 16" xfId="506" xr:uid="{00000000-0005-0000-0000-0000FD010000}"/>
    <cellStyle name="Accent2 17" xfId="507" xr:uid="{00000000-0005-0000-0000-0000FE010000}"/>
    <cellStyle name="Accent2 18" xfId="508" xr:uid="{00000000-0005-0000-0000-0000FF010000}"/>
    <cellStyle name="Accent2 19" xfId="509" xr:uid="{00000000-0005-0000-0000-000000020000}"/>
    <cellStyle name="Accent2 2" xfId="510" xr:uid="{00000000-0005-0000-0000-000001020000}"/>
    <cellStyle name="Accent2 20" xfId="511" xr:uid="{00000000-0005-0000-0000-000002020000}"/>
    <cellStyle name="Accent2 21" xfId="512" xr:uid="{00000000-0005-0000-0000-000003020000}"/>
    <cellStyle name="Accent2 22" xfId="513" xr:uid="{00000000-0005-0000-0000-000004020000}"/>
    <cellStyle name="Accent2 23" xfId="514" xr:uid="{00000000-0005-0000-0000-000005020000}"/>
    <cellStyle name="Accent2 24" xfId="515" xr:uid="{00000000-0005-0000-0000-000006020000}"/>
    <cellStyle name="Accent2 25" xfId="516" xr:uid="{00000000-0005-0000-0000-000007020000}"/>
    <cellStyle name="Accent2 26" xfId="517" xr:uid="{00000000-0005-0000-0000-000008020000}"/>
    <cellStyle name="Accent2 27" xfId="518" xr:uid="{00000000-0005-0000-0000-000009020000}"/>
    <cellStyle name="Accent2 28" xfId="519" xr:uid="{00000000-0005-0000-0000-00000A020000}"/>
    <cellStyle name="Accent2 29" xfId="520" xr:uid="{00000000-0005-0000-0000-00000B020000}"/>
    <cellStyle name="Accent2 3" xfId="521" xr:uid="{00000000-0005-0000-0000-00000C020000}"/>
    <cellStyle name="Accent2 4" xfId="522" xr:uid="{00000000-0005-0000-0000-00000D020000}"/>
    <cellStyle name="Accent2 5" xfId="523" xr:uid="{00000000-0005-0000-0000-00000E020000}"/>
    <cellStyle name="Accent2 6" xfId="524" xr:uid="{00000000-0005-0000-0000-00000F020000}"/>
    <cellStyle name="Accent2 7" xfId="525" xr:uid="{00000000-0005-0000-0000-000010020000}"/>
    <cellStyle name="Accent2 8" xfId="526" xr:uid="{00000000-0005-0000-0000-000011020000}"/>
    <cellStyle name="Accent2 9" xfId="527" xr:uid="{00000000-0005-0000-0000-000012020000}"/>
    <cellStyle name="Accent3" xfId="528" xr:uid="{00000000-0005-0000-0000-000013020000}"/>
    <cellStyle name="Accent3 10" xfId="529" xr:uid="{00000000-0005-0000-0000-000014020000}"/>
    <cellStyle name="Accent3 11" xfId="530" xr:uid="{00000000-0005-0000-0000-000015020000}"/>
    <cellStyle name="Accent3 12" xfId="531" xr:uid="{00000000-0005-0000-0000-000016020000}"/>
    <cellStyle name="Accent3 13" xfId="532" xr:uid="{00000000-0005-0000-0000-000017020000}"/>
    <cellStyle name="Accent3 14" xfId="533" xr:uid="{00000000-0005-0000-0000-000018020000}"/>
    <cellStyle name="Accent3 15" xfId="534" xr:uid="{00000000-0005-0000-0000-000019020000}"/>
    <cellStyle name="Accent3 16" xfId="535" xr:uid="{00000000-0005-0000-0000-00001A020000}"/>
    <cellStyle name="Accent3 17" xfId="536" xr:uid="{00000000-0005-0000-0000-00001B020000}"/>
    <cellStyle name="Accent3 18" xfId="537" xr:uid="{00000000-0005-0000-0000-00001C020000}"/>
    <cellStyle name="Accent3 19" xfId="538" xr:uid="{00000000-0005-0000-0000-00001D020000}"/>
    <cellStyle name="Accent3 2" xfId="539" xr:uid="{00000000-0005-0000-0000-00001E020000}"/>
    <cellStyle name="Accent3 20" xfId="540" xr:uid="{00000000-0005-0000-0000-00001F020000}"/>
    <cellStyle name="Accent3 21" xfId="541" xr:uid="{00000000-0005-0000-0000-000020020000}"/>
    <cellStyle name="Accent3 22" xfId="542" xr:uid="{00000000-0005-0000-0000-000021020000}"/>
    <cellStyle name="Accent3 23" xfId="543" xr:uid="{00000000-0005-0000-0000-000022020000}"/>
    <cellStyle name="Accent3 24" xfId="544" xr:uid="{00000000-0005-0000-0000-000023020000}"/>
    <cellStyle name="Accent3 25" xfId="545" xr:uid="{00000000-0005-0000-0000-000024020000}"/>
    <cellStyle name="Accent3 26" xfId="546" xr:uid="{00000000-0005-0000-0000-000025020000}"/>
    <cellStyle name="Accent3 27" xfId="547" xr:uid="{00000000-0005-0000-0000-000026020000}"/>
    <cellStyle name="Accent3 28" xfId="548" xr:uid="{00000000-0005-0000-0000-000027020000}"/>
    <cellStyle name="Accent3 29" xfId="549" xr:uid="{00000000-0005-0000-0000-000028020000}"/>
    <cellStyle name="Accent3 3" xfId="550" xr:uid="{00000000-0005-0000-0000-000029020000}"/>
    <cellStyle name="Accent3 4" xfId="551" xr:uid="{00000000-0005-0000-0000-00002A020000}"/>
    <cellStyle name="Accent3 5" xfId="552" xr:uid="{00000000-0005-0000-0000-00002B020000}"/>
    <cellStyle name="Accent3 6" xfId="553" xr:uid="{00000000-0005-0000-0000-00002C020000}"/>
    <cellStyle name="Accent3 7" xfId="554" xr:uid="{00000000-0005-0000-0000-00002D020000}"/>
    <cellStyle name="Accent3 8" xfId="555" xr:uid="{00000000-0005-0000-0000-00002E020000}"/>
    <cellStyle name="Accent3 9" xfId="556" xr:uid="{00000000-0005-0000-0000-00002F020000}"/>
    <cellStyle name="Accent4" xfId="557" xr:uid="{00000000-0005-0000-0000-000030020000}"/>
    <cellStyle name="Accent4 10" xfId="558" xr:uid="{00000000-0005-0000-0000-000031020000}"/>
    <cellStyle name="Accent4 11" xfId="559" xr:uid="{00000000-0005-0000-0000-000032020000}"/>
    <cellStyle name="Accent4 12" xfId="560" xr:uid="{00000000-0005-0000-0000-000033020000}"/>
    <cellStyle name="Accent4 13" xfId="561" xr:uid="{00000000-0005-0000-0000-000034020000}"/>
    <cellStyle name="Accent4 14" xfId="562" xr:uid="{00000000-0005-0000-0000-000035020000}"/>
    <cellStyle name="Accent4 15" xfId="563" xr:uid="{00000000-0005-0000-0000-000036020000}"/>
    <cellStyle name="Accent4 16" xfId="564" xr:uid="{00000000-0005-0000-0000-000037020000}"/>
    <cellStyle name="Accent4 17" xfId="565" xr:uid="{00000000-0005-0000-0000-000038020000}"/>
    <cellStyle name="Accent4 18" xfId="566" xr:uid="{00000000-0005-0000-0000-000039020000}"/>
    <cellStyle name="Accent4 19" xfId="567" xr:uid="{00000000-0005-0000-0000-00003A020000}"/>
    <cellStyle name="Accent4 2" xfId="568" xr:uid="{00000000-0005-0000-0000-00003B020000}"/>
    <cellStyle name="Accent4 20" xfId="569" xr:uid="{00000000-0005-0000-0000-00003C020000}"/>
    <cellStyle name="Accent4 21" xfId="570" xr:uid="{00000000-0005-0000-0000-00003D020000}"/>
    <cellStyle name="Accent4 22" xfId="571" xr:uid="{00000000-0005-0000-0000-00003E020000}"/>
    <cellStyle name="Accent4 23" xfId="572" xr:uid="{00000000-0005-0000-0000-00003F020000}"/>
    <cellStyle name="Accent4 24" xfId="573" xr:uid="{00000000-0005-0000-0000-000040020000}"/>
    <cellStyle name="Accent4 25" xfId="574" xr:uid="{00000000-0005-0000-0000-000041020000}"/>
    <cellStyle name="Accent4 26" xfId="575" xr:uid="{00000000-0005-0000-0000-000042020000}"/>
    <cellStyle name="Accent4 27" xfId="576" xr:uid="{00000000-0005-0000-0000-000043020000}"/>
    <cellStyle name="Accent4 28" xfId="577" xr:uid="{00000000-0005-0000-0000-000044020000}"/>
    <cellStyle name="Accent4 29" xfId="578" xr:uid="{00000000-0005-0000-0000-000045020000}"/>
    <cellStyle name="Accent4 3" xfId="579" xr:uid="{00000000-0005-0000-0000-000046020000}"/>
    <cellStyle name="Accent4 4" xfId="580" xr:uid="{00000000-0005-0000-0000-000047020000}"/>
    <cellStyle name="Accent4 5" xfId="581" xr:uid="{00000000-0005-0000-0000-000048020000}"/>
    <cellStyle name="Accent4 6" xfId="582" xr:uid="{00000000-0005-0000-0000-000049020000}"/>
    <cellStyle name="Accent4 7" xfId="583" xr:uid="{00000000-0005-0000-0000-00004A020000}"/>
    <cellStyle name="Accent4 8" xfId="584" xr:uid="{00000000-0005-0000-0000-00004B020000}"/>
    <cellStyle name="Accent4 9" xfId="585" xr:uid="{00000000-0005-0000-0000-00004C020000}"/>
    <cellStyle name="Accent5" xfId="586" xr:uid="{00000000-0005-0000-0000-00004D020000}"/>
    <cellStyle name="Accent6" xfId="587" xr:uid="{00000000-0005-0000-0000-00004E020000}"/>
    <cellStyle name="Accent6 10" xfId="588" xr:uid="{00000000-0005-0000-0000-00004F020000}"/>
    <cellStyle name="Accent6 11" xfId="589" xr:uid="{00000000-0005-0000-0000-000050020000}"/>
    <cellStyle name="Accent6 12" xfId="590" xr:uid="{00000000-0005-0000-0000-000051020000}"/>
    <cellStyle name="Accent6 13" xfId="591" xr:uid="{00000000-0005-0000-0000-000052020000}"/>
    <cellStyle name="Accent6 14" xfId="592" xr:uid="{00000000-0005-0000-0000-000053020000}"/>
    <cellStyle name="Accent6 15" xfId="593" xr:uid="{00000000-0005-0000-0000-000054020000}"/>
    <cellStyle name="Accent6 16" xfId="594" xr:uid="{00000000-0005-0000-0000-000055020000}"/>
    <cellStyle name="Accent6 17" xfId="595" xr:uid="{00000000-0005-0000-0000-000056020000}"/>
    <cellStyle name="Accent6 18" xfId="596" xr:uid="{00000000-0005-0000-0000-000057020000}"/>
    <cellStyle name="Accent6 19" xfId="597" xr:uid="{00000000-0005-0000-0000-000058020000}"/>
    <cellStyle name="Accent6 2" xfId="598" xr:uid="{00000000-0005-0000-0000-000059020000}"/>
    <cellStyle name="Accent6 20" xfId="599" xr:uid="{00000000-0005-0000-0000-00005A020000}"/>
    <cellStyle name="Accent6 21" xfId="600" xr:uid="{00000000-0005-0000-0000-00005B020000}"/>
    <cellStyle name="Accent6 22" xfId="601" xr:uid="{00000000-0005-0000-0000-00005C020000}"/>
    <cellStyle name="Accent6 23" xfId="602" xr:uid="{00000000-0005-0000-0000-00005D020000}"/>
    <cellStyle name="Accent6 24" xfId="603" xr:uid="{00000000-0005-0000-0000-00005E020000}"/>
    <cellStyle name="Accent6 25" xfId="604" xr:uid="{00000000-0005-0000-0000-00005F020000}"/>
    <cellStyle name="Accent6 26" xfId="605" xr:uid="{00000000-0005-0000-0000-000060020000}"/>
    <cellStyle name="Accent6 27" xfId="606" xr:uid="{00000000-0005-0000-0000-000061020000}"/>
    <cellStyle name="Accent6 28" xfId="607" xr:uid="{00000000-0005-0000-0000-000062020000}"/>
    <cellStyle name="Accent6 29" xfId="608" xr:uid="{00000000-0005-0000-0000-000063020000}"/>
    <cellStyle name="Accent6 3" xfId="609" xr:uid="{00000000-0005-0000-0000-000064020000}"/>
    <cellStyle name="Accent6 4" xfId="610" xr:uid="{00000000-0005-0000-0000-000065020000}"/>
    <cellStyle name="Accent6 5" xfId="611" xr:uid="{00000000-0005-0000-0000-000066020000}"/>
    <cellStyle name="Accent6 6" xfId="612" xr:uid="{00000000-0005-0000-0000-000067020000}"/>
    <cellStyle name="Accent6 7" xfId="613" xr:uid="{00000000-0005-0000-0000-000068020000}"/>
    <cellStyle name="Accent6 8" xfId="614" xr:uid="{00000000-0005-0000-0000-000069020000}"/>
    <cellStyle name="Accent6 9" xfId="615" xr:uid="{00000000-0005-0000-0000-00006A020000}"/>
    <cellStyle name="Bad 1" xfId="616" xr:uid="{00000000-0005-0000-0000-00006B020000}"/>
    <cellStyle name="Bad 10" xfId="617" xr:uid="{00000000-0005-0000-0000-00006C020000}"/>
    <cellStyle name="Bad 11" xfId="618" xr:uid="{00000000-0005-0000-0000-00006D020000}"/>
    <cellStyle name="Bad 12" xfId="619" xr:uid="{00000000-0005-0000-0000-00006E020000}"/>
    <cellStyle name="Bad 13" xfId="620" xr:uid="{00000000-0005-0000-0000-00006F020000}"/>
    <cellStyle name="Bad 14" xfId="621" xr:uid="{00000000-0005-0000-0000-000070020000}"/>
    <cellStyle name="Bad 15" xfId="622" xr:uid="{00000000-0005-0000-0000-000071020000}"/>
    <cellStyle name="Bad 16" xfId="623" xr:uid="{00000000-0005-0000-0000-000072020000}"/>
    <cellStyle name="Bad 17" xfId="624" xr:uid="{00000000-0005-0000-0000-000073020000}"/>
    <cellStyle name="Bad 18" xfId="625" xr:uid="{00000000-0005-0000-0000-000074020000}"/>
    <cellStyle name="Bad 19" xfId="626" xr:uid="{00000000-0005-0000-0000-000075020000}"/>
    <cellStyle name="Bad 2" xfId="627" xr:uid="{00000000-0005-0000-0000-000076020000}"/>
    <cellStyle name="Bad 20" xfId="628" xr:uid="{00000000-0005-0000-0000-000077020000}"/>
    <cellStyle name="Bad 21" xfId="629" xr:uid="{00000000-0005-0000-0000-000078020000}"/>
    <cellStyle name="Bad 22" xfId="630" xr:uid="{00000000-0005-0000-0000-000079020000}"/>
    <cellStyle name="Bad 23" xfId="631" xr:uid="{00000000-0005-0000-0000-00007A020000}"/>
    <cellStyle name="Bad 24" xfId="632" xr:uid="{00000000-0005-0000-0000-00007B020000}"/>
    <cellStyle name="Bad 25" xfId="633" xr:uid="{00000000-0005-0000-0000-00007C020000}"/>
    <cellStyle name="Bad 26" xfId="634" xr:uid="{00000000-0005-0000-0000-00007D020000}"/>
    <cellStyle name="Bad 27" xfId="635" xr:uid="{00000000-0005-0000-0000-00007E020000}"/>
    <cellStyle name="Bad 28" xfId="636" xr:uid="{00000000-0005-0000-0000-00007F020000}"/>
    <cellStyle name="Bad 29" xfId="637" xr:uid="{00000000-0005-0000-0000-000080020000}"/>
    <cellStyle name="Bad 3" xfId="638" xr:uid="{00000000-0005-0000-0000-000081020000}"/>
    <cellStyle name="Bad 4" xfId="639" xr:uid="{00000000-0005-0000-0000-000082020000}"/>
    <cellStyle name="Bad 5" xfId="640" xr:uid="{00000000-0005-0000-0000-000083020000}"/>
    <cellStyle name="Bad 6" xfId="641" xr:uid="{00000000-0005-0000-0000-000084020000}"/>
    <cellStyle name="Bad 7" xfId="642" xr:uid="{00000000-0005-0000-0000-000085020000}"/>
    <cellStyle name="Bad 8" xfId="643" xr:uid="{00000000-0005-0000-0000-000086020000}"/>
    <cellStyle name="Bad 9" xfId="644" xr:uid="{00000000-0005-0000-0000-000087020000}"/>
    <cellStyle name="Calculation" xfId="645" xr:uid="{00000000-0005-0000-0000-000088020000}"/>
    <cellStyle name="Calculation 10" xfId="646" xr:uid="{00000000-0005-0000-0000-000089020000}"/>
    <cellStyle name="Calculation 11" xfId="647" xr:uid="{00000000-0005-0000-0000-00008A020000}"/>
    <cellStyle name="Calculation 12" xfId="648" xr:uid="{00000000-0005-0000-0000-00008B020000}"/>
    <cellStyle name="Calculation 13" xfId="649" xr:uid="{00000000-0005-0000-0000-00008C020000}"/>
    <cellStyle name="Calculation 14" xfId="650" xr:uid="{00000000-0005-0000-0000-00008D020000}"/>
    <cellStyle name="Calculation 15" xfId="651" xr:uid="{00000000-0005-0000-0000-00008E020000}"/>
    <cellStyle name="Calculation 16" xfId="652" xr:uid="{00000000-0005-0000-0000-00008F020000}"/>
    <cellStyle name="Calculation 17" xfId="653" xr:uid="{00000000-0005-0000-0000-000090020000}"/>
    <cellStyle name="Calculation 18" xfId="654" xr:uid="{00000000-0005-0000-0000-000091020000}"/>
    <cellStyle name="Calculation 19" xfId="655" xr:uid="{00000000-0005-0000-0000-000092020000}"/>
    <cellStyle name="Calculation 2" xfId="656" xr:uid="{00000000-0005-0000-0000-000093020000}"/>
    <cellStyle name="Calculation 20" xfId="657" xr:uid="{00000000-0005-0000-0000-000094020000}"/>
    <cellStyle name="Calculation 21" xfId="658" xr:uid="{00000000-0005-0000-0000-000095020000}"/>
    <cellStyle name="Calculation 22" xfId="659" xr:uid="{00000000-0005-0000-0000-000096020000}"/>
    <cellStyle name="Calculation 23" xfId="660" xr:uid="{00000000-0005-0000-0000-000097020000}"/>
    <cellStyle name="Calculation 24" xfId="661" xr:uid="{00000000-0005-0000-0000-000098020000}"/>
    <cellStyle name="Calculation 25" xfId="662" xr:uid="{00000000-0005-0000-0000-000099020000}"/>
    <cellStyle name="Calculation 26" xfId="663" xr:uid="{00000000-0005-0000-0000-00009A020000}"/>
    <cellStyle name="Calculation 27" xfId="664" xr:uid="{00000000-0005-0000-0000-00009B020000}"/>
    <cellStyle name="Calculation 28" xfId="665" xr:uid="{00000000-0005-0000-0000-00009C020000}"/>
    <cellStyle name="Calculation 29" xfId="666" xr:uid="{00000000-0005-0000-0000-00009D020000}"/>
    <cellStyle name="Calculation 3" xfId="667" xr:uid="{00000000-0005-0000-0000-00009E020000}"/>
    <cellStyle name="Calculation 4" xfId="668" xr:uid="{00000000-0005-0000-0000-00009F020000}"/>
    <cellStyle name="Calculation 5" xfId="669" xr:uid="{00000000-0005-0000-0000-0000A0020000}"/>
    <cellStyle name="Calculation 6" xfId="670" xr:uid="{00000000-0005-0000-0000-0000A1020000}"/>
    <cellStyle name="Calculation 7" xfId="671" xr:uid="{00000000-0005-0000-0000-0000A2020000}"/>
    <cellStyle name="Calculation 8" xfId="672" xr:uid="{00000000-0005-0000-0000-0000A3020000}"/>
    <cellStyle name="Calculation 9" xfId="673" xr:uid="{00000000-0005-0000-0000-0000A4020000}"/>
    <cellStyle name="Check Cell" xfId="674" xr:uid="{00000000-0005-0000-0000-0000A5020000}"/>
    <cellStyle name="Claudio" xfId="675" xr:uid="{00000000-0005-0000-0000-0000A6020000}"/>
    <cellStyle name="Comma 2" xfId="676" xr:uid="{00000000-0005-0000-0000-0000A7020000}"/>
    <cellStyle name="Comma0" xfId="677" xr:uid="{00000000-0005-0000-0000-0000A8020000}"/>
    <cellStyle name="Currency0" xfId="678" xr:uid="{00000000-0005-0000-0000-0000A9020000}"/>
    <cellStyle name="Date" xfId="679" xr:uid="{00000000-0005-0000-0000-0000AA020000}"/>
    <cellStyle name="Estilo 1" xfId="680" xr:uid="{00000000-0005-0000-0000-0000AB020000}"/>
    <cellStyle name="Euro" xfId="681" xr:uid="{00000000-0005-0000-0000-0000AC020000}"/>
    <cellStyle name="Euro 10" xfId="682" xr:uid="{00000000-0005-0000-0000-0000AD020000}"/>
    <cellStyle name="Euro 11" xfId="683" xr:uid="{00000000-0005-0000-0000-0000AE020000}"/>
    <cellStyle name="Euro 12" xfId="684" xr:uid="{00000000-0005-0000-0000-0000AF020000}"/>
    <cellStyle name="Euro 13" xfId="685" xr:uid="{00000000-0005-0000-0000-0000B0020000}"/>
    <cellStyle name="Euro 14" xfId="686" xr:uid="{00000000-0005-0000-0000-0000B1020000}"/>
    <cellStyle name="Euro 15" xfId="687" xr:uid="{00000000-0005-0000-0000-0000B2020000}"/>
    <cellStyle name="Euro 16" xfId="688" xr:uid="{00000000-0005-0000-0000-0000B3020000}"/>
    <cellStyle name="Euro 17" xfId="689" xr:uid="{00000000-0005-0000-0000-0000B4020000}"/>
    <cellStyle name="Euro 18" xfId="690" xr:uid="{00000000-0005-0000-0000-0000B5020000}"/>
    <cellStyle name="Euro 19" xfId="691" xr:uid="{00000000-0005-0000-0000-0000B6020000}"/>
    <cellStyle name="Euro 2" xfId="692" xr:uid="{00000000-0005-0000-0000-0000B7020000}"/>
    <cellStyle name="Euro 20" xfId="693" xr:uid="{00000000-0005-0000-0000-0000B8020000}"/>
    <cellStyle name="Euro 21" xfId="694" xr:uid="{00000000-0005-0000-0000-0000B9020000}"/>
    <cellStyle name="Euro 22" xfId="695" xr:uid="{00000000-0005-0000-0000-0000BA020000}"/>
    <cellStyle name="Euro 23" xfId="696" xr:uid="{00000000-0005-0000-0000-0000BB020000}"/>
    <cellStyle name="Euro 24" xfId="697" xr:uid="{00000000-0005-0000-0000-0000BC020000}"/>
    <cellStyle name="Euro 25" xfId="698" xr:uid="{00000000-0005-0000-0000-0000BD020000}"/>
    <cellStyle name="Euro 26" xfId="699" xr:uid="{00000000-0005-0000-0000-0000BE020000}"/>
    <cellStyle name="Euro 27" xfId="700" xr:uid="{00000000-0005-0000-0000-0000BF020000}"/>
    <cellStyle name="Euro 28" xfId="701" xr:uid="{00000000-0005-0000-0000-0000C0020000}"/>
    <cellStyle name="Euro 29" xfId="702" xr:uid="{00000000-0005-0000-0000-0000C1020000}"/>
    <cellStyle name="Euro 3" xfId="703" xr:uid="{00000000-0005-0000-0000-0000C2020000}"/>
    <cellStyle name="Euro 4" xfId="704" xr:uid="{00000000-0005-0000-0000-0000C3020000}"/>
    <cellStyle name="Euro 5" xfId="705" xr:uid="{00000000-0005-0000-0000-0000C4020000}"/>
    <cellStyle name="Euro 6" xfId="706" xr:uid="{00000000-0005-0000-0000-0000C5020000}"/>
    <cellStyle name="Euro 7" xfId="707" xr:uid="{00000000-0005-0000-0000-0000C6020000}"/>
    <cellStyle name="Euro 8" xfId="708" xr:uid="{00000000-0005-0000-0000-0000C7020000}"/>
    <cellStyle name="Euro 9" xfId="709" xr:uid="{00000000-0005-0000-0000-0000C8020000}"/>
    <cellStyle name="Excel Built-in Comma [0]" xfId="1347" xr:uid="{00000000-0005-0000-0000-000046050000}"/>
    <cellStyle name="Excel Built-in Comma [0] 1" xfId="1346" xr:uid="{00000000-0005-0000-0000-000045050000}"/>
    <cellStyle name="Excel Built-in Currency [0]" xfId="1348" xr:uid="{00000000-0005-0000-0000-000048050000}"/>
    <cellStyle name="Explanatory Text" xfId="710" xr:uid="{00000000-0005-0000-0000-0000C9020000}"/>
    <cellStyle name="Fixed" xfId="711" xr:uid="{00000000-0005-0000-0000-0000CA020000}"/>
    <cellStyle name="Good 10" xfId="712" xr:uid="{00000000-0005-0000-0000-0000CB020000}"/>
    <cellStyle name="Good 11" xfId="713" xr:uid="{00000000-0005-0000-0000-0000CC020000}"/>
    <cellStyle name="Good 12" xfId="714" xr:uid="{00000000-0005-0000-0000-0000CD020000}"/>
    <cellStyle name="Good 13" xfId="715" xr:uid="{00000000-0005-0000-0000-0000CE020000}"/>
    <cellStyle name="Good 14" xfId="716" xr:uid="{00000000-0005-0000-0000-0000CF020000}"/>
    <cellStyle name="Good 15" xfId="717" xr:uid="{00000000-0005-0000-0000-0000D0020000}"/>
    <cellStyle name="Good 16" xfId="718" xr:uid="{00000000-0005-0000-0000-0000D1020000}"/>
    <cellStyle name="Good 17" xfId="719" xr:uid="{00000000-0005-0000-0000-0000D2020000}"/>
    <cellStyle name="Good 18" xfId="720" xr:uid="{00000000-0005-0000-0000-0000D3020000}"/>
    <cellStyle name="Good 19" xfId="721" xr:uid="{00000000-0005-0000-0000-0000D4020000}"/>
    <cellStyle name="Good 2" xfId="722" xr:uid="{00000000-0005-0000-0000-0000D5020000}"/>
    <cellStyle name="Good 20" xfId="723" xr:uid="{00000000-0005-0000-0000-0000D6020000}"/>
    <cellStyle name="Good 21" xfId="724" xr:uid="{00000000-0005-0000-0000-0000D7020000}"/>
    <cellStyle name="Good 22" xfId="725" xr:uid="{00000000-0005-0000-0000-0000D8020000}"/>
    <cellStyle name="Good 23" xfId="726" xr:uid="{00000000-0005-0000-0000-0000D9020000}"/>
    <cellStyle name="Good 24" xfId="727" xr:uid="{00000000-0005-0000-0000-0000DA020000}"/>
    <cellStyle name="Good 25" xfId="728" xr:uid="{00000000-0005-0000-0000-0000DB020000}"/>
    <cellStyle name="Good 26" xfId="729" xr:uid="{00000000-0005-0000-0000-0000DC020000}"/>
    <cellStyle name="Good 27" xfId="730" xr:uid="{00000000-0005-0000-0000-0000DD020000}"/>
    <cellStyle name="Good 28" xfId="731" xr:uid="{00000000-0005-0000-0000-0000DE020000}"/>
    <cellStyle name="Good 29" xfId="732" xr:uid="{00000000-0005-0000-0000-0000DF020000}"/>
    <cellStyle name="Good 3" xfId="733" xr:uid="{00000000-0005-0000-0000-0000E0020000}"/>
    <cellStyle name="Good 30" xfId="734" xr:uid="{00000000-0005-0000-0000-0000E1020000}"/>
    <cellStyle name="Good 4" xfId="735" xr:uid="{00000000-0005-0000-0000-0000E2020000}"/>
    <cellStyle name="Good 5" xfId="736" xr:uid="{00000000-0005-0000-0000-0000E3020000}"/>
    <cellStyle name="Good 6" xfId="737" xr:uid="{00000000-0005-0000-0000-0000E4020000}"/>
    <cellStyle name="Good 7" xfId="738" xr:uid="{00000000-0005-0000-0000-0000E5020000}"/>
    <cellStyle name="Good 8" xfId="739" xr:uid="{00000000-0005-0000-0000-0000E6020000}"/>
    <cellStyle name="Good 9" xfId="740" xr:uid="{00000000-0005-0000-0000-0000E7020000}"/>
    <cellStyle name="Heading 1 10" xfId="741" xr:uid="{00000000-0005-0000-0000-0000E8020000}"/>
    <cellStyle name="Heading 1 11" xfId="742" xr:uid="{00000000-0005-0000-0000-0000E9020000}"/>
    <cellStyle name="Heading 1 12" xfId="743" xr:uid="{00000000-0005-0000-0000-0000EA020000}"/>
    <cellStyle name="Heading 1 13" xfId="744" xr:uid="{00000000-0005-0000-0000-0000EB020000}"/>
    <cellStyle name="Heading 1 14" xfId="745" xr:uid="{00000000-0005-0000-0000-0000EC020000}"/>
    <cellStyle name="Heading 1 15" xfId="746" xr:uid="{00000000-0005-0000-0000-0000ED020000}"/>
    <cellStyle name="Heading 1 16" xfId="747" xr:uid="{00000000-0005-0000-0000-0000EE020000}"/>
    <cellStyle name="Heading 1 17" xfId="748" xr:uid="{00000000-0005-0000-0000-0000EF020000}"/>
    <cellStyle name="Heading 1 18" xfId="749" xr:uid="{00000000-0005-0000-0000-0000F0020000}"/>
    <cellStyle name="Heading 1 19" xfId="750" xr:uid="{00000000-0005-0000-0000-0000F1020000}"/>
    <cellStyle name="Heading 1 2" xfId="751" xr:uid="{00000000-0005-0000-0000-0000F2020000}"/>
    <cellStyle name="Heading 1 20" xfId="752" xr:uid="{00000000-0005-0000-0000-0000F3020000}"/>
    <cellStyle name="Heading 1 21" xfId="753" xr:uid="{00000000-0005-0000-0000-0000F4020000}"/>
    <cellStyle name="Heading 1 22" xfId="754" xr:uid="{00000000-0005-0000-0000-0000F5020000}"/>
    <cellStyle name="Heading 1 23" xfId="755" xr:uid="{00000000-0005-0000-0000-0000F6020000}"/>
    <cellStyle name="Heading 1 24" xfId="756" xr:uid="{00000000-0005-0000-0000-0000F7020000}"/>
    <cellStyle name="Heading 1 25" xfId="757" xr:uid="{00000000-0005-0000-0000-0000F8020000}"/>
    <cellStyle name="Heading 1 26" xfId="758" xr:uid="{00000000-0005-0000-0000-0000F9020000}"/>
    <cellStyle name="Heading 1 27" xfId="759" xr:uid="{00000000-0005-0000-0000-0000FA020000}"/>
    <cellStyle name="Heading 1 28" xfId="760" xr:uid="{00000000-0005-0000-0000-0000FB020000}"/>
    <cellStyle name="Heading 1 29" xfId="761" xr:uid="{00000000-0005-0000-0000-0000FC020000}"/>
    <cellStyle name="Heading 1 3" xfId="762" xr:uid="{00000000-0005-0000-0000-0000FD020000}"/>
    <cellStyle name="Heading 1 31" xfId="763" xr:uid="{00000000-0005-0000-0000-0000FE020000}"/>
    <cellStyle name="Heading 1 4" xfId="764" xr:uid="{00000000-0005-0000-0000-0000FF020000}"/>
    <cellStyle name="Heading 1 5" xfId="765" xr:uid="{00000000-0005-0000-0000-000000030000}"/>
    <cellStyle name="Heading 1 6" xfId="766" xr:uid="{00000000-0005-0000-0000-000001030000}"/>
    <cellStyle name="Heading 1 7" xfId="767" xr:uid="{00000000-0005-0000-0000-000002030000}"/>
    <cellStyle name="Heading 1 8" xfId="768" xr:uid="{00000000-0005-0000-0000-000003030000}"/>
    <cellStyle name="Heading 1 9" xfId="769" xr:uid="{00000000-0005-0000-0000-000004030000}"/>
    <cellStyle name="Heading 2 10" xfId="770" xr:uid="{00000000-0005-0000-0000-000005030000}"/>
    <cellStyle name="Heading 2 11" xfId="771" xr:uid="{00000000-0005-0000-0000-000006030000}"/>
    <cellStyle name="Heading 2 12" xfId="772" xr:uid="{00000000-0005-0000-0000-000007030000}"/>
    <cellStyle name="Heading 2 13" xfId="773" xr:uid="{00000000-0005-0000-0000-000008030000}"/>
    <cellStyle name="Heading 2 14" xfId="774" xr:uid="{00000000-0005-0000-0000-000009030000}"/>
    <cellStyle name="Heading 2 15" xfId="775" xr:uid="{00000000-0005-0000-0000-00000A030000}"/>
    <cellStyle name="Heading 2 16" xfId="776" xr:uid="{00000000-0005-0000-0000-00000B030000}"/>
    <cellStyle name="Heading 2 17" xfId="777" xr:uid="{00000000-0005-0000-0000-00000C030000}"/>
    <cellStyle name="Heading 2 18" xfId="778" xr:uid="{00000000-0005-0000-0000-00000D030000}"/>
    <cellStyle name="Heading 2 19" xfId="779" xr:uid="{00000000-0005-0000-0000-00000E030000}"/>
    <cellStyle name="Heading 2 2" xfId="780" xr:uid="{00000000-0005-0000-0000-00000F030000}"/>
    <cellStyle name="Heading 2 20" xfId="781" xr:uid="{00000000-0005-0000-0000-000010030000}"/>
    <cellStyle name="Heading 2 21" xfId="782" xr:uid="{00000000-0005-0000-0000-000011030000}"/>
    <cellStyle name="Heading 2 22" xfId="783" xr:uid="{00000000-0005-0000-0000-000012030000}"/>
    <cellStyle name="Heading 2 23" xfId="784" xr:uid="{00000000-0005-0000-0000-000013030000}"/>
    <cellStyle name="Heading 2 24" xfId="785" xr:uid="{00000000-0005-0000-0000-000014030000}"/>
    <cellStyle name="Heading 2 25" xfId="786" xr:uid="{00000000-0005-0000-0000-000015030000}"/>
    <cellStyle name="Heading 2 26" xfId="787" xr:uid="{00000000-0005-0000-0000-000016030000}"/>
    <cellStyle name="Heading 2 27" xfId="788" xr:uid="{00000000-0005-0000-0000-000017030000}"/>
    <cellStyle name="Heading 2 28" xfId="789" xr:uid="{00000000-0005-0000-0000-000018030000}"/>
    <cellStyle name="Heading 2 29" xfId="790" xr:uid="{00000000-0005-0000-0000-000019030000}"/>
    <cellStyle name="Heading 2 3" xfId="791" xr:uid="{00000000-0005-0000-0000-00001A030000}"/>
    <cellStyle name="Heading 2 32" xfId="792" xr:uid="{00000000-0005-0000-0000-00001B030000}"/>
    <cellStyle name="Heading 2 4" xfId="793" xr:uid="{00000000-0005-0000-0000-00001C030000}"/>
    <cellStyle name="Heading 2 5" xfId="794" xr:uid="{00000000-0005-0000-0000-00001D030000}"/>
    <cellStyle name="Heading 2 6" xfId="795" xr:uid="{00000000-0005-0000-0000-00001E030000}"/>
    <cellStyle name="Heading 2 7" xfId="796" xr:uid="{00000000-0005-0000-0000-00001F030000}"/>
    <cellStyle name="Heading 2 8" xfId="797" xr:uid="{00000000-0005-0000-0000-000020030000}"/>
    <cellStyle name="Heading 2 9" xfId="798" xr:uid="{00000000-0005-0000-0000-000021030000}"/>
    <cellStyle name="Heading 3" xfId="799" xr:uid="{00000000-0005-0000-0000-000022030000}"/>
    <cellStyle name="Heading 3 10" xfId="800" xr:uid="{00000000-0005-0000-0000-000023030000}"/>
    <cellStyle name="Heading 3 11" xfId="801" xr:uid="{00000000-0005-0000-0000-000024030000}"/>
    <cellStyle name="Heading 3 12" xfId="802" xr:uid="{00000000-0005-0000-0000-000025030000}"/>
    <cellStyle name="Heading 3 13" xfId="803" xr:uid="{00000000-0005-0000-0000-000026030000}"/>
    <cellStyle name="Heading 3 14" xfId="804" xr:uid="{00000000-0005-0000-0000-000027030000}"/>
    <cellStyle name="Heading 3 15" xfId="805" xr:uid="{00000000-0005-0000-0000-000028030000}"/>
    <cellStyle name="Heading 3 16" xfId="806" xr:uid="{00000000-0005-0000-0000-000029030000}"/>
    <cellStyle name="Heading 3 17" xfId="807" xr:uid="{00000000-0005-0000-0000-00002A030000}"/>
    <cellStyle name="Heading 3 18" xfId="808" xr:uid="{00000000-0005-0000-0000-00002B030000}"/>
    <cellStyle name="Heading 3 19" xfId="809" xr:uid="{00000000-0005-0000-0000-00002C030000}"/>
    <cellStyle name="Heading 3 2" xfId="810" xr:uid="{00000000-0005-0000-0000-00002D030000}"/>
    <cellStyle name="Heading 3 20" xfId="811" xr:uid="{00000000-0005-0000-0000-00002E030000}"/>
    <cellStyle name="Heading 3 21" xfId="812" xr:uid="{00000000-0005-0000-0000-00002F030000}"/>
    <cellStyle name="Heading 3 22" xfId="813" xr:uid="{00000000-0005-0000-0000-000030030000}"/>
    <cellStyle name="Heading 3 23" xfId="814" xr:uid="{00000000-0005-0000-0000-000031030000}"/>
    <cellStyle name="Heading 3 24" xfId="815" xr:uid="{00000000-0005-0000-0000-000032030000}"/>
    <cellStyle name="Heading 3 25" xfId="816" xr:uid="{00000000-0005-0000-0000-000033030000}"/>
    <cellStyle name="Heading 3 26" xfId="817" xr:uid="{00000000-0005-0000-0000-000034030000}"/>
    <cellStyle name="Heading 3 27" xfId="818" xr:uid="{00000000-0005-0000-0000-000035030000}"/>
    <cellStyle name="Heading 3 28" xfId="819" xr:uid="{00000000-0005-0000-0000-000036030000}"/>
    <cellStyle name="Heading 3 29" xfId="820" xr:uid="{00000000-0005-0000-0000-000037030000}"/>
    <cellStyle name="Heading 3 3" xfId="821" xr:uid="{00000000-0005-0000-0000-000038030000}"/>
    <cellStyle name="Heading 3 4" xfId="822" xr:uid="{00000000-0005-0000-0000-000039030000}"/>
    <cellStyle name="Heading 3 5" xfId="823" xr:uid="{00000000-0005-0000-0000-00003A030000}"/>
    <cellStyle name="Heading 3 6" xfId="824" xr:uid="{00000000-0005-0000-0000-00003B030000}"/>
    <cellStyle name="Heading 3 7" xfId="825" xr:uid="{00000000-0005-0000-0000-00003C030000}"/>
    <cellStyle name="Heading 3 8" xfId="826" xr:uid="{00000000-0005-0000-0000-00003D030000}"/>
    <cellStyle name="Heading 3 9" xfId="827" xr:uid="{00000000-0005-0000-0000-00003E030000}"/>
    <cellStyle name="Heading 4" xfId="828" xr:uid="{00000000-0005-0000-0000-00003F030000}"/>
    <cellStyle name="Heading 4 10" xfId="829" xr:uid="{00000000-0005-0000-0000-000040030000}"/>
    <cellStyle name="Heading 4 11" xfId="830" xr:uid="{00000000-0005-0000-0000-000041030000}"/>
    <cellStyle name="Heading 4 12" xfId="831" xr:uid="{00000000-0005-0000-0000-000042030000}"/>
    <cellStyle name="Heading 4 13" xfId="832" xr:uid="{00000000-0005-0000-0000-000043030000}"/>
    <cellStyle name="Heading 4 14" xfId="833" xr:uid="{00000000-0005-0000-0000-000044030000}"/>
    <cellStyle name="Heading 4 15" xfId="834" xr:uid="{00000000-0005-0000-0000-000045030000}"/>
    <cellStyle name="Heading 4 16" xfId="835" xr:uid="{00000000-0005-0000-0000-000046030000}"/>
    <cellStyle name="Heading 4 17" xfId="836" xr:uid="{00000000-0005-0000-0000-000047030000}"/>
    <cellStyle name="Heading 4 18" xfId="837" xr:uid="{00000000-0005-0000-0000-000048030000}"/>
    <cellStyle name="Heading 4 19" xfId="838" xr:uid="{00000000-0005-0000-0000-000049030000}"/>
    <cellStyle name="Heading 4 2" xfId="839" xr:uid="{00000000-0005-0000-0000-00004A030000}"/>
    <cellStyle name="Heading 4 20" xfId="840" xr:uid="{00000000-0005-0000-0000-00004B030000}"/>
    <cellStyle name="Heading 4 21" xfId="841" xr:uid="{00000000-0005-0000-0000-00004C030000}"/>
    <cellStyle name="Heading 4 22" xfId="842" xr:uid="{00000000-0005-0000-0000-00004D030000}"/>
    <cellStyle name="Heading 4 23" xfId="843" xr:uid="{00000000-0005-0000-0000-00004E030000}"/>
    <cellStyle name="Heading 4 24" xfId="844" xr:uid="{00000000-0005-0000-0000-00004F030000}"/>
    <cellStyle name="Heading 4 25" xfId="845" xr:uid="{00000000-0005-0000-0000-000050030000}"/>
    <cellStyle name="Heading 4 26" xfId="846" xr:uid="{00000000-0005-0000-0000-000051030000}"/>
    <cellStyle name="Heading 4 27" xfId="847" xr:uid="{00000000-0005-0000-0000-000052030000}"/>
    <cellStyle name="Heading 4 28" xfId="848" xr:uid="{00000000-0005-0000-0000-000053030000}"/>
    <cellStyle name="Heading 4 29" xfId="849" xr:uid="{00000000-0005-0000-0000-000054030000}"/>
    <cellStyle name="Heading 4 3" xfId="850" xr:uid="{00000000-0005-0000-0000-000055030000}"/>
    <cellStyle name="Heading 4 4" xfId="851" xr:uid="{00000000-0005-0000-0000-000056030000}"/>
    <cellStyle name="Heading 4 5" xfId="852" xr:uid="{00000000-0005-0000-0000-000057030000}"/>
    <cellStyle name="Heading 4 6" xfId="853" xr:uid="{00000000-0005-0000-0000-000058030000}"/>
    <cellStyle name="Heading 4 7" xfId="854" xr:uid="{00000000-0005-0000-0000-000059030000}"/>
    <cellStyle name="Heading 4 8" xfId="855" xr:uid="{00000000-0005-0000-0000-00005A030000}"/>
    <cellStyle name="Heading 4 9" xfId="856" xr:uid="{00000000-0005-0000-0000-00005B030000}"/>
    <cellStyle name="Hipervínculo" xfId="2" builtinId="8"/>
    <cellStyle name="Hipervínculo 2" xfId="857" xr:uid="{00000000-0005-0000-0000-00005C030000}"/>
    <cellStyle name="Input" xfId="858" xr:uid="{00000000-0005-0000-0000-00005D030000}"/>
    <cellStyle name="Input 10" xfId="859" xr:uid="{00000000-0005-0000-0000-00005E030000}"/>
    <cellStyle name="Input 11" xfId="860" xr:uid="{00000000-0005-0000-0000-00005F030000}"/>
    <cellStyle name="Input 12" xfId="861" xr:uid="{00000000-0005-0000-0000-000060030000}"/>
    <cellStyle name="Input 13" xfId="862" xr:uid="{00000000-0005-0000-0000-000061030000}"/>
    <cellStyle name="Input 14" xfId="863" xr:uid="{00000000-0005-0000-0000-000062030000}"/>
    <cellStyle name="Input 15" xfId="864" xr:uid="{00000000-0005-0000-0000-000063030000}"/>
    <cellStyle name="Input 16" xfId="865" xr:uid="{00000000-0005-0000-0000-000064030000}"/>
    <cellStyle name="Input 17" xfId="866" xr:uid="{00000000-0005-0000-0000-000065030000}"/>
    <cellStyle name="Input 18" xfId="867" xr:uid="{00000000-0005-0000-0000-000066030000}"/>
    <cellStyle name="Input 19" xfId="868" xr:uid="{00000000-0005-0000-0000-000067030000}"/>
    <cellStyle name="Input 2" xfId="869" xr:uid="{00000000-0005-0000-0000-000068030000}"/>
    <cellStyle name="Input 20" xfId="870" xr:uid="{00000000-0005-0000-0000-000069030000}"/>
    <cellStyle name="Input 21" xfId="871" xr:uid="{00000000-0005-0000-0000-00006A030000}"/>
    <cellStyle name="Input 22" xfId="872" xr:uid="{00000000-0005-0000-0000-00006B030000}"/>
    <cellStyle name="Input 23" xfId="873" xr:uid="{00000000-0005-0000-0000-00006C030000}"/>
    <cellStyle name="Input 24" xfId="874" xr:uid="{00000000-0005-0000-0000-00006D030000}"/>
    <cellStyle name="Input 25" xfId="875" xr:uid="{00000000-0005-0000-0000-00006E030000}"/>
    <cellStyle name="Input 26" xfId="876" xr:uid="{00000000-0005-0000-0000-00006F030000}"/>
    <cellStyle name="Input 27" xfId="877" xr:uid="{00000000-0005-0000-0000-000070030000}"/>
    <cellStyle name="Input 28" xfId="878" xr:uid="{00000000-0005-0000-0000-000071030000}"/>
    <cellStyle name="Input 29" xfId="879" xr:uid="{00000000-0005-0000-0000-000072030000}"/>
    <cellStyle name="Input 3" xfId="880" xr:uid="{00000000-0005-0000-0000-000073030000}"/>
    <cellStyle name="Input 4" xfId="881" xr:uid="{00000000-0005-0000-0000-000074030000}"/>
    <cellStyle name="Input 5" xfId="882" xr:uid="{00000000-0005-0000-0000-000075030000}"/>
    <cellStyle name="Input 6" xfId="883" xr:uid="{00000000-0005-0000-0000-000076030000}"/>
    <cellStyle name="Input 7" xfId="884" xr:uid="{00000000-0005-0000-0000-000077030000}"/>
    <cellStyle name="Input 8" xfId="885" xr:uid="{00000000-0005-0000-0000-000078030000}"/>
    <cellStyle name="Input 9" xfId="886" xr:uid="{00000000-0005-0000-0000-000079030000}"/>
    <cellStyle name="Linked Cell" xfId="887" xr:uid="{00000000-0005-0000-0000-00007A030000}"/>
    <cellStyle name="Linked Cell 10" xfId="888" xr:uid="{00000000-0005-0000-0000-00007B030000}"/>
    <cellStyle name="Linked Cell 11" xfId="889" xr:uid="{00000000-0005-0000-0000-00007C030000}"/>
    <cellStyle name="Linked Cell 12" xfId="890" xr:uid="{00000000-0005-0000-0000-00007D030000}"/>
    <cellStyle name="Linked Cell 13" xfId="891" xr:uid="{00000000-0005-0000-0000-00007E030000}"/>
    <cellStyle name="Linked Cell 14" xfId="892" xr:uid="{00000000-0005-0000-0000-00007F030000}"/>
    <cellStyle name="Linked Cell 15" xfId="893" xr:uid="{00000000-0005-0000-0000-000080030000}"/>
    <cellStyle name="Linked Cell 16" xfId="894" xr:uid="{00000000-0005-0000-0000-000081030000}"/>
    <cellStyle name="Linked Cell 17" xfId="895" xr:uid="{00000000-0005-0000-0000-000082030000}"/>
    <cellStyle name="Linked Cell 18" xfId="896" xr:uid="{00000000-0005-0000-0000-000083030000}"/>
    <cellStyle name="Linked Cell 19" xfId="897" xr:uid="{00000000-0005-0000-0000-000084030000}"/>
    <cellStyle name="Linked Cell 2" xfId="898" xr:uid="{00000000-0005-0000-0000-000085030000}"/>
    <cellStyle name="Linked Cell 20" xfId="899" xr:uid="{00000000-0005-0000-0000-000086030000}"/>
    <cellStyle name="Linked Cell 21" xfId="900" xr:uid="{00000000-0005-0000-0000-000087030000}"/>
    <cellStyle name="Linked Cell 22" xfId="901" xr:uid="{00000000-0005-0000-0000-000088030000}"/>
    <cellStyle name="Linked Cell 23" xfId="902" xr:uid="{00000000-0005-0000-0000-000089030000}"/>
    <cellStyle name="Linked Cell 24" xfId="903" xr:uid="{00000000-0005-0000-0000-00008A030000}"/>
    <cellStyle name="Linked Cell 25" xfId="904" xr:uid="{00000000-0005-0000-0000-00008B030000}"/>
    <cellStyle name="Linked Cell 26" xfId="905" xr:uid="{00000000-0005-0000-0000-00008C030000}"/>
    <cellStyle name="Linked Cell 27" xfId="906" xr:uid="{00000000-0005-0000-0000-00008D030000}"/>
    <cellStyle name="Linked Cell 28" xfId="907" xr:uid="{00000000-0005-0000-0000-00008E030000}"/>
    <cellStyle name="Linked Cell 29" xfId="908" xr:uid="{00000000-0005-0000-0000-00008F030000}"/>
    <cellStyle name="Linked Cell 3" xfId="909" xr:uid="{00000000-0005-0000-0000-000090030000}"/>
    <cellStyle name="Linked Cell 4" xfId="910" xr:uid="{00000000-0005-0000-0000-000091030000}"/>
    <cellStyle name="Linked Cell 5" xfId="911" xr:uid="{00000000-0005-0000-0000-000092030000}"/>
    <cellStyle name="Linked Cell 6" xfId="912" xr:uid="{00000000-0005-0000-0000-000093030000}"/>
    <cellStyle name="Linked Cell 7" xfId="913" xr:uid="{00000000-0005-0000-0000-000094030000}"/>
    <cellStyle name="Linked Cell 8" xfId="914" xr:uid="{00000000-0005-0000-0000-000095030000}"/>
    <cellStyle name="Linked Cell 9" xfId="915" xr:uid="{00000000-0005-0000-0000-000096030000}"/>
    <cellStyle name="Millares" xfId="1349" builtinId="3"/>
    <cellStyle name="Millares 10" xfId="916" xr:uid="{00000000-0005-0000-0000-000097030000}"/>
    <cellStyle name="Millares 11" xfId="917" xr:uid="{00000000-0005-0000-0000-000098030000}"/>
    <cellStyle name="Millares 12" xfId="918" xr:uid="{00000000-0005-0000-0000-000099030000}"/>
    <cellStyle name="Millares 12 2" xfId="919" xr:uid="{00000000-0005-0000-0000-00009A030000}"/>
    <cellStyle name="Millares 12 3" xfId="920" xr:uid="{00000000-0005-0000-0000-00009B030000}"/>
    <cellStyle name="Millares 12 4" xfId="921" xr:uid="{00000000-0005-0000-0000-00009C030000}"/>
    <cellStyle name="Millares 13" xfId="922" xr:uid="{00000000-0005-0000-0000-00009D030000}"/>
    <cellStyle name="Millares 13 10" xfId="923" xr:uid="{00000000-0005-0000-0000-00009E030000}"/>
    <cellStyle name="Millares 13 11" xfId="924" xr:uid="{00000000-0005-0000-0000-00009F030000}"/>
    <cellStyle name="Millares 13 12" xfId="925" xr:uid="{00000000-0005-0000-0000-0000A0030000}"/>
    <cellStyle name="Millares 13 13" xfId="926" xr:uid="{00000000-0005-0000-0000-0000A1030000}"/>
    <cellStyle name="Millares 13 14" xfId="927" xr:uid="{00000000-0005-0000-0000-0000A2030000}"/>
    <cellStyle name="Millares 13 15" xfId="928" xr:uid="{00000000-0005-0000-0000-0000A3030000}"/>
    <cellStyle name="Millares 13 16" xfId="929" xr:uid="{00000000-0005-0000-0000-0000A4030000}"/>
    <cellStyle name="Millares 13 2" xfId="930" xr:uid="{00000000-0005-0000-0000-0000A5030000}"/>
    <cellStyle name="Millares 13 3" xfId="931" xr:uid="{00000000-0005-0000-0000-0000A6030000}"/>
    <cellStyle name="Millares 13 4" xfId="932" xr:uid="{00000000-0005-0000-0000-0000A7030000}"/>
    <cellStyle name="Millares 13 5" xfId="933" xr:uid="{00000000-0005-0000-0000-0000A8030000}"/>
    <cellStyle name="Millares 13 6" xfId="934" xr:uid="{00000000-0005-0000-0000-0000A9030000}"/>
    <cellStyle name="Millares 13 7" xfId="935" xr:uid="{00000000-0005-0000-0000-0000AA030000}"/>
    <cellStyle name="Millares 13 8" xfId="936" xr:uid="{00000000-0005-0000-0000-0000AB030000}"/>
    <cellStyle name="Millares 13 9" xfId="937" xr:uid="{00000000-0005-0000-0000-0000AC030000}"/>
    <cellStyle name="Millares 14" xfId="938" xr:uid="{00000000-0005-0000-0000-0000AD030000}"/>
    <cellStyle name="Millares 15" xfId="939" xr:uid="{00000000-0005-0000-0000-0000AE030000}"/>
    <cellStyle name="Millares 16" xfId="940" xr:uid="{00000000-0005-0000-0000-0000AF030000}"/>
    <cellStyle name="Millares 19" xfId="941" xr:uid="{00000000-0005-0000-0000-0000B0030000}"/>
    <cellStyle name="Millares 19 2" xfId="942" xr:uid="{00000000-0005-0000-0000-0000B1030000}"/>
    <cellStyle name="Millares 19 3" xfId="943" xr:uid="{00000000-0005-0000-0000-0000B2030000}"/>
    <cellStyle name="Millares 19 4" xfId="944" xr:uid="{00000000-0005-0000-0000-0000B3030000}"/>
    <cellStyle name="Millares 2" xfId="945" xr:uid="{00000000-0005-0000-0000-0000B4030000}"/>
    <cellStyle name="Millares 2 2" xfId="946" xr:uid="{00000000-0005-0000-0000-0000B5030000}"/>
    <cellStyle name="Millares 2 2 2" xfId="947" xr:uid="{00000000-0005-0000-0000-0000B6030000}"/>
    <cellStyle name="Millares 2 2 3" xfId="948" xr:uid="{00000000-0005-0000-0000-0000B7030000}"/>
    <cellStyle name="Millares 2 2 4" xfId="949" xr:uid="{00000000-0005-0000-0000-0000B8030000}"/>
    <cellStyle name="Millares 2 2 5" xfId="950" xr:uid="{00000000-0005-0000-0000-0000B9030000}"/>
    <cellStyle name="Millares 2 2 6" xfId="951" xr:uid="{00000000-0005-0000-0000-0000BA030000}"/>
    <cellStyle name="Millares 2 2 7" xfId="952" xr:uid="{00000000-0005-0000-0000-0000BB030000}"/>
    <cellStyle name="Millares 2 3" xfId="953" xr:uid="{00000000-0005-0000-0000-0000BC030000}"/>
    <cellStyle name="Millares 2_FormatoAPUyAdministración_20110623162925.939_X" xfId="972" xr:uid="{00000000-0005-0000-0000-0000CF030000}"/>
    <cellStyle name="Millares 20" xfId="954" xr:uid="{00000000-0005-0000-0000-0000BD030000}"/>
    <cellStyle name="Millares 20 2" xfId="955" xr:uid="{00000000-0005-0000-0000-0000BE030000}"/>
    <cellStyle name="Millares 20 3" xfId="956" xr:uid="{00000000-0005-0000-0000-0000BF030000}"/>
    <cellStyle name="Millares 20 4" xfId="957" xr:uid="{00000000-0005-0000-0000-0000C0030000}"/>
    <cellStyle name="Millares 21" xfId="958" xr:uid="{00000000-0005-0000-0000-0000C1030000}"/>
    <cellStyle name="Millares 21 2" xfId="959" xr:uid="{00000000-0005-0000-0000-0000C2030000}"/>
    <cellStyle name="Millares 22" xfId="960" xr:uid="{00000000-0005-0000-0000-0000C3030000}"/>
    <cellStyle name="Millares 22 2" xfId="961" xr:uid="{00000000-0005-0000-0000-0000C4030000}"/>
    <cellStyle name="Millares 22 3" xfId="962" xr:uid="{00000000-0005-0000-0000-0000C5030000}"/>
    <cellStyle name="Millares 22 4" xfId="963" xr:uid="{00000000-0005-0000-0000-0000C6030000}"/>
    <cellStyle name="Millares 23" xfId="964" xr:uid="{00000000-0005-0000-0000-0000C7030000}"/>
    <cellStyle name="Millares 23 2" xfId="965" xr:uid="{00000000-0005-0000-0000-0000C8030000}"/>
    <cellStyle name="Millares 23 3" xfId="966" xr:uid="{00000000-0005-0000-0000-0000C9030000}"/>
    <cellStyle name="Millares 23 4" xfId="967" xr:uid="{00000000-0005-0000-0000-0000CA030000}"/>
    <cellStyle name="Millares 24" xfId="968" xr:uid="{00000000-0005-0000-0000-0000CB030000}"/>
    <cellStyle name="Millares 24 2" xfId="969" xr:uid="{00000000-0005-0000-0000-0000CC030000}"/>
    <cellStyle name="Millares 24 3" xfId="970" xr:uid="{00000000-0005-0000-0000-0000CD030000}"/>
    <cellStyle name="Millares 24 4" xfId="971" xr:uid="{00000000-0005-0000-0000-0000CE030000}"/>
    <cellStyle name="Millares 3" xfId="973" xr:uid="{00000000-0005-0000-0000-0000D0030000}"/>
    <cellStyle name="Millares 3 10" xfId="974" xr:uid="{00000000-0005-0000-0000-0000D1030000}"/>
    <cellStyle name="Millares 3 11" xfId="975" xr:uid="{00000000-0005-0000-0000-0000D2030000}"/>
    <cellStyle name="Millares 3 12" xfId="976" xr:uid="{00000000-0005-0000-0000-0000D3030000}"/>
    <cellStyle name="Millares 3 13" xfId="977" xr:uid="{00000000-0005-0000-0000-0000D4030000}"/>
    <cellStyle name="Millares 3 14" xfId="978" xr:uid="{00000000-0005-0000-0000-0000D5030000}"/>
    <cellStyle name="Millares 3 15" xfId="979" xr:uid="{00000000-0005-0000-0000-0000D6030000}"/>
    <cellStyle name="Millares 3 16" xfId="980" xr:uid="{00000000-0005-0000-0000-0000D7030000}"/>
    <cellStyle name="Millares 3 2" xfId="981" xr:uid="{00000000-0005-0000-0000-0000D8030000}"/>
    <cellStyle name="Millares 3 3" xfId="982" xr:uid="{00000000-0005-0000-0000-0000D9030000}"/>
    <cellStyle name="Millares 3 4" xfId="983" xr:uid="{00000000-0005-0000-0000-0000DA030000}"/>
    <cellStyle name="Millares 3 5" xfId="984" xr:uid="{00000000-0005-0000-0000-0000DB030000}"/>
    <cellStyle name="Millares 3 6" xfId="985" xr:uid="{00000000-0005-0000-0000-0000DC030000}"/>
    <cellStyle name="Millares 3 7" xfId="986" xr:uid="{00000000-0005-0000-0000-0000DD030000}"/>
    <cellStyle name="Millares 3 8" xfId="987" xr:uid="{00000000-0005-0000-0000-0000DE030000}"/>
    <cellStyle name="Millares 3 9" xfId="988" xr:uid="{00000000-0005-0000-0000-0000DF030000}"/>
    <cellStyle name="Millares 4" xfId="989" xr:uid="{00000000-0005-0000-0000-0000E0030000}"/>
    <cellStyle name="Millares 4 10" xfId="990" xr:uid="{00000000-0005-0000-0000-0000E1030000}"/>
    <cellStyle name="Millares 4 11" xfId="991" xr:uid="{00000000-0005-0000-0000-0000E2030000}"/>
    <cellStyle name="Millares 4 12" xfId="992" xr:uid="{00000000-0005-0000-0000-0000E3030000}"/>
    <cellStyle name="Millares 4 13" xfId="993" xr:uid="{00000000-0005-0000-0000-0000E4030000}"/>
    <cellStyle name="Millares 4 14" xfId="994" xr:uid="{00000000-0005-0000-0000-0000E5030000}"/>
    <cellStyle name="Millares 4 15" xfId="995" xr:uid="{00000000-0005-0000-0000-0000E6030000}"/>
    <cellStyle name="Millares 4 16" xfId="996" xr:uid="{00000000-0005-0000-0000-0000E7030000}"/>
    <cellStyle name="Millares 4 17" xfId="997" xr:uid="{00000000-0005-0000-0000-0000E8030000}"/>
    <cellStyle name="Millares 4 18" xfId="998" xr:uid="{00000000-0005-0000-0000-0000E9030000}"/>
    <cellStyle name="Millares 4 19" xfId="999" xr:uid="{00000000-0005-0000-0000-0000EA030000}"/>
    <cellStyle name="Millares 4 2" xfId="1000" xr:uid="{00000000-0005-0000-0000-0000EB030000}"/>
    <cellStyle name="Millares 4 20" xfId="1001" xr:uid="{00000000-0005-0000-0000-0000EC030000}"/>
    <cellStyle name="Millares 4 21" xfId="1002" xr:uid="{00000000-0005-0000-0000-0000ED030000}"/>
    <cellStyle name="Millares 4 22" xfId="1003" xr:uid="{00000000-0005-0000-0000-0000EE030000}"/>
    <cellStyle name="Millares 4 23" xfId="1004" xr:uid="{00000000-0005-0000-0000-0000EF030000}"/>
    <cellStyle name="Millares 4 24" xfId="1005" xr:uid="{00000000-0005-0000-0000-0000F0030000}"/>
    <cellStyle name="Millares 4 25" xfId="1006" xr:uid="{00000000-0005-0000-0000-0000F1030000}"/>
    <cellStyle name="Millares 4 26" xfId="1007" xr:uid="{00000000-0005-0000-0000-0000F2030000}"/>
    <cellStyle name="Millares 4 27" xfId="1008" xr:uid="{00000000-0005-0000-0000-0000F3030000}"/>
    <cellStyle name="Millares 4 28" xfId="1009" xr:uid="{00000000-0005-0000-0000-0000F4030000}"/>
    <cellStyle name="Millares 4 29" xfId="1010" xr:uid="{00000000-0005-0000-0000-0000F5030000}"/>
    <cellStyle name="Millares 4 3" xfId="1011" xr:uid="{00000000-0005-0000-0000-0000F6030000}"/>
    <cellStyle name="Millares 4 30" xfId="1012" xr:uid="{00000000-0005-0000-0000-0000F7030000}"/>
    <cellStyle name="Millares 4 4" xfId="1013" xr:uid="{00000000-0005-0000-0000-0000F8030000}"/>
    <cellStyle name="Millares 4 5" xfId="1014" xr:uid="{00000000-0005-0000-0000-0000F9030000}"/>
    <cellStyle name="Millares 4 6" xfId="1015" xr:uid="{00000000-0005-0000-0000-0000FA030000}"/>
    <cellStyle name="Millares 4 7" xfId="1016" xr:uid="{00000000-0005-0000-0000-0000FB030000}"/>
    <cellStyle name="Millares 4 8" xfId="1017" xr:uid="{00000000-0005-0000-0000-0000FC030000}"/>
    <cellStyle name="Millares 4 9" xfId="1018" xr:uid="{00000000-0005-0000-0000-0000FD030000}"/>
    <cellStyle name="Millares 44" xfId="1019" xr:uid="{00000000-0005-0000-0000-0000FE030000}"/>
    <cellStyle name="Millares 5" xfId="1020" xr:uid="{00000000-0005-0000-0000-0000FF030000}"/>
    <cellStyle name="Millares 6" xfId="1021" xr:uid="{00000000-0005-0000-0000-000000040000}"/>
    <cellStyle name="Millares 7" xfId="1022" xr:uid="{00000000-0005-0000-0000-000001040000}"/>
    <cellStyle name="Millares 8" xfId="1023" xr:uid="{00000000-0005-0000-0000-000002040000}"/>
    <cellStyle name="Millares 9" xfId="1024" xr:uid="{00000000-0005-0000-0000-000003040000}"/>
    <cellStyle name="Moneda [0] 2" xfId="1065" xr:uid="{00000000-0005-0000-0000-00002C040000}"/>
    <cellStyle name="Moneda [0] 2 10" xfId="1066" xr:uid="{00000000-0005-0000-0000-00002D040000}"/>
    <cellStyle name="Moneda [0] 2 11" xfId="1067" xr:uid="{00000000-0005-0000-0000-00002E040000}"/>
    <cellStyle name="Moneda [0] 2 12" xfId="1068" xr:uid="{00000000-0005-0000-0000-00002F040000}"/>
    <cellStyle name="Moneda [0] 2 13" xfId="1069" xr:uid="{00000000-0005-0000-0000-000030040000}"/>
    <cellStyle name="Moneda [0] 2 14" xfId="1070" xr:uid="{00000000-0005-0000-0000-000031040000}"/>
    <cellStyle name="Moneda [0] 2 15" xfId="1071" xr:uid="{00000000-0005-0000-0000-000032040000}"/>
    <cellStyle name="Moneda [0] 2 16" xfId="1072" xr:uid="{00000000-0005-0000-0000-000033040000}"/>
    <cellStyle name="Moneda [0] 2 2" xfId="1073" xr:uid="{00000000-0005-0000-0000-000034040000}"/>
    <cellStyle name="Moneda [0] 2 3" xfId="1074" xr:uid="{00000000-0005-0000-0000-000035040000}"/>
    <cellStyle name="Moneda [0] 2 4" xfId="1075" xr:uid="{00000000-0005-0000-0000-000036040000}"/>
    <cellStyle name="Moneda [0] 2 5" xfId="1076" xr:uid="{00000000-0005-0000-0000-000037040000}"/>
    <cellStyle name="Moneda [0] 2 6" xfId="1077" xr:uid="{00000000-0005-0000-0000-000038040000}"/>
    <cellStyle name="Moneda [0] 2 7" xfId="1078" xr:uid="{00000000-0005-0000-0000-000039040000}"/>
    <cellStyle name="Moneda [0] 2 8" xfId="1079" xr:uid="{00000000-0005-0000-0000-00003A040000}"/>
    <cellStyle name="Moneda [0] 2 9" xfId="1080" xr:uid="{00000000-0005-0000-0000-00003B040000}"/>
    <cellStyle name="Moneda 2" xfId="1025" xr:uid="{00000000-0005-0000-0000-000004040000}"/>
    <cellStyle name="Moneda 2 2" xfId="1026" xr:uid="{00000000-0005-0000-0000-000005040000}"/>
    <cellStyle name="Moneda 2_Formato APUs " xfId="1027" xr:uid="{00000000-0005-0000-0000-000006040000}"/>
    <cellStyle name="Moneda 3" xfId="1028" xr:uid="{00000000-0005-0000-0000-000007040000}"/>
    <cellStyle name="Moneda 3 10" xfId="1029" xr:uid="{00000000-0005-0000-0000-000008040000}"/>
    <cellStyle name="Moneda 3 11" xfId="1030" xr:uid="{00000000-0005-0000-0000-000009040000}"/>
    <cellStyle name="Moneda 3 12" xfId="1031" xr:uid="{00000000-0005-0000-0000-00000A040000}"/>
    <cellStyle name="Moneda 3 13" xfId="1032" xr:uid="{00000000-0005-0000-0000-00000B040000}"/>
    <cellStyle name="Moneda 3 14" xfId="1033" xr:uid="{00000000-0005-0000-0000-00000C040000}"/>
    <cellStyle name="Moneda 3 15" xfId="1034" xr:uid="{00000000-0005-0000-0000-00000D040000}"/>
    <cellStyle name="Moneda 3 16" xfId="1035" xr:uid="{00000000-0005-0000-0000-00000E040000}"/>
    <cellStyle name="Moneda 3 2" xfId="1036" xr:uid="{00000000-0005-0000-0000-00000F040000}"/>
    <cellStyle name="Moneda 3 3" xfId="1037" xr:uid="{00000000-0005-0000-0000-000010040000}"/>
    <cellStyle name="Moneda 3 4" xfId="1038" xr:uid="{00000000-0005-0000-0000-000011040000}"/>
    <cellStyle name="Moneda 3 5" xfId="1039" xr:uid="{00000000-0005-0000-0000-000012040000}"/>
    <cellStyle name="Moneda 3 6" xfId="1040" xr:uid="{00000000-0005-0000-0000-000013040000}"/>
    <cellStyle name="Moneda 3 7" xfId="1041" xr:uid="{00000000-0005-0000-0000-000014040000}"/>
    <cellStyle name="Moneda 3 8" xfId="1042" xr:uid="{00000000-0005-0000-0000-000015040000}"/>
    <cellStyle name="Moneda 3 9" xfId="1043" xr:uid="{00000000-0005-0000-0000-000016040000}"/>
    <cellStyle name="Moneda 4" xfId="1044" xr:uid="{00000000-0005-0000-0000-000017040000}"/>
    <cellStyle name="Moneda 5" xfId="1045" xr:uid="{00000000-0005-0000-0000-000018040000}"/>
    <cellStyle name="Moneda 5 10" xfId="1046" xr:uid="{00000000-0005-0000-0000-000019040000}"/>
    <cellStyle name="Moneda 5 11" xfId="1047" xr:uid="{00000000-0005-0000-0000-00001A040000}"/>
    <cellStyle name="Moneda 5 12" xfId="1048" xr:uid="{00000000-0005-0000-0000-00001B040000}"/>
    <cellStyle name="Moneda 5 13" xfId="1049" xr:uid="{00000000-0005-0000-0000-00001C040000}"/>
    <cellStyle name="Moneda 5 14" xfId="1050" xr:uid="{00000000-0005-0000-0000-00001D040000}"/>
    <cellStyle name="Moneda 5 15" xfId="1051" xr:uid="{00000000-0005-0000-0000-00001E040000}"/>
    <cellStyle name="Moneda 5 16" xfId="1052" xr:uid="{00000000-0005-0000-0000-00001F040000}"/>
    <cellStyle name="Moneda 5 2" xfId="1053" xr:uid="{00000000-0005-0000-0000-000020040000}"/>
    <cellStyle name="Moneda 5 3" xfId="1054" xr:uid="{00000000-0005-0000-0000-000021040000}"/>
    <cellStyle name="Moneda 5 4" xfId="1055" xr:uid="{00000000-0005-0000-0000-000022040000}"/>
    <cellStyle name="Moneda 5 5" xfId="1056" xr:uid="{00000000-0005-0000-0000-000023040000}"/>
    <cellStyle name="Moneda 5 6" xfId="1057" xr:uid="{00000000-0005-0000-0000-000024040000}"/>
    <cellStyle name="Moneda 5 7" xfId="1058" xr:uid="{00000000-0005-0000-0000-000025040000}"/>
    <cellStyle name="Moneda 5 8" xfId="1059" xr:uid="{00000000-0005-0000-0000-000026040000}"/>
    <cellStyle name="Moneda 5 9" xfId="1060" xr:uid="{00000000-0005-0000-0000-000027040000}"/>
    <cellStyle name="Moneda 6" xfId="1061" xr:uid="{00000000-0005-0000-0000-000028040000}"/>
    <cellStyle name="Moneda 7" xfId="1062" xr:uid="{00000000-0005-0000-0000-000029040000}"/>
    <cellStyle name="Moneda 8" xfId="1063" xr:uid="{00000000-0005-0000-0000-00002A040000}"/>
    <cellStyle name="Moneda 9" xfId="1064" xr:uid="{00000000-0005-0000-0000-00002B040000}"/>
    <cellStyle name="Normal" xfId="0" builtinId="0"/>
    <cellStyle name="Normal 10" xfId="1081" xr:uid="{00000000-0005-0000-0000-00003C040000}"/>
    <cellStyle name="Normal 11" xfId="1082" xr:uid="{00000000-0005-0000-0000-00003D040000}"/>
    <cellStyle name="Normal 12" xfId="1083" xr:uid="{00000000-0005-0000-0000-00003E040000}"/>
    <cellStyle name="Normal 2" xfId="1084" xr:uid="{00000000-0005-0000-0000-00003F040000}"/>
    <cellStyle name="Normal 2 2" xfId="1085" xr:uid="{00000000-0005-0000-0000-000040040000}"/>
    <cellStyle name="Normal 2 3" xfId="1086" xr:uid="{00000000-0005-0000-0000-000041040000}"/>
    <cellStyle name="Normal 2_APUs Bodega" xfId="1087" xr:uid="{00000000-0005-0000-0000-000042040000}"/>
    <cellStyle name="Normal 3" xfId="1088" xr:uid="{00000000-0005-0000-0000-000043040000}"/>
    <cellStyle name="Normal 3 2" xfId="1089" xr:uid="{00000000-0005-0000-0000-000044040000}"/>
    <cellStyle name="Normal 4" xfId="1090" xr:uid="{00000000-0005-0000-0000-000045040000}"/>
    <cellStyle name="Normal 4 2" xfId="1091" xr:uid="{00000000-0005-0000-0000-000046040000}"/>
    <cellStyle name="Normal 4_APUs Bodega" xfId="1092" xr:uid="{00000000-0005-0000-0000-000047040000}"/>
    <cellStyle name="Normal 5" xfId="1093" xr:uid="{00000000-0005-0000-0000-000048040000}"/>
    <cellStyle name="Normal 6" xfId="1094" xr:uid="{00000000-0005-0000-0000-000049040000}"/>
    <cellStyle name="Normal 7" xfId="1095" xr:uid="{00000000-0005-0000-0000-00004A040000}"/>
    <cellStyle name="Normal 8" xfId="1096" xr:uid="{00000000-0005-0000-0000-00004B040000}"/>
    <cellStyle name="Normal 9" xfId="1097" xr:uid="{00000000-0005-0000-0000-00004C040000}"/>
    <cellStyle name="Note 10" xfId="1098" xr:uid="{00000000-0005-0000-0000-00004D040000}"/>
    <cellStyle name="Note 11" xfId="1099" xr:uid="{00000000-0005-0000-0000-00004E040000}"/>
    <cellStyle name="Note 12" xfId="1100" xr:uid="{00000000-0005-0000-0000-00004F040000}"/>
    <cellStyle name="Note 13" xfId="1101" xr:uid="{00000000-0005-0000-0000-000050040000}"/>
    <cellStyle name="Note 14" xfId="1102" xr:uid="{00000000-0005-0000-0000-000051040000}"/>
    <cellStyle name="Note 15" xfId="1103" xr:uid="{00000000-0005-0000-0000-000052040000}"/>
    <cellStyle name="Note 16" xfId="1104" xr:uid="{00000000-0005-0000-0000-000053040000}"/>
    <cellStyle name="Note 17" xfId="1105" xr:uid="{00000000-0005-0000-0000-000054040000}"/>
    <cellStyle name="Note 18" xfId="1106" xr:uid="{00000000-0005-0000-0000-000055040000}"/>
    <cellStyle name="Note 19" xfId="1107" xr:uid="{00000000-0005-0000-0000-000056040000}"/>
    <cellStyle name="Note 2" xfId="1108" xr:uid="{00000000-0005-0000-0000-000057040000}"/>
    <cellStyle name="Note 20" xfId="1109" xr:uid="{00000000-0005-0000-0000-000058040000}"/>
    <cellStyle name="Note 21" xfId="1110" xr:uid="{00000000-0005-0000-0000-000059040000}"/>
    <cellStyle name="Note 22" xfId="1111" xr:uid="{00000000-0005-0000-0000-00005A040000}"/>
    <cellStyle name="Note 23" xfId="1112" xr:uid="{00000000-0005-0000-0000-00005B040000}"/>
    <cellStyle name="Note 24" xfId="1113" xr:uid="{00000000-0005-0000-0000-00005C040000}"/>
    <cellStyle name="Note 25" xfId="1114" xr:uid="{00000000-0005-0000-0000-00005D040000}"/>
    <cellStyle name="Note 26" xfId="1115" xr:uid="{00000000-0005-0000-0000-00005E040000}"/>
    <cellStyle name="Note 27" xfId="1116" xr:uid="{00000000-0005-0000-0000-00005F040000}"/>
    <cellStyle name="Note 28" xfId="1117" xr:uid="{00000000-0005-0000-0000-000060040000}"/>
    <cellStyle name="Note 29" xfId="1118" xr:uid="{00000000-0005-0000-0000-000061040000}"/>
    <cellStyle name="Note 3" xfId="1119" xr:uid="{00000000-0005-0000-0000-000062040000}"/>
    <cellStyle name="Note 30" xfId="1120" xr:uid="{00000000-0005-0000-0000-000063040000}"/>
    <cellStyle name="Note 31" xfId="1121" xr:uid="{00000000-0005-0000-0000-000064040000}"/>
    <cellStyle name="Note 32" xfId="1122" xr:uid="{00000000-0005-0000-0000-000065040000}"/>
    <cellStyle name="Note 33" xfId="1123" xr:uid="{00000000-0005-0000-0000-000066040000}"/>
    <cellStyle name="Note 34" xfId="1124" xr:uid="{00000000-0005-0000-0000-000067040000}"/>
    <cellStyle name="Note 35" xfId="1125" xr:uid="{00000000-0005-0000-0000-000068040000}"/>
    <cellStyle name="Note 36" xfId="1126" xr:uid="{00000000-0005-0000-0000-000069040000}"/>
    <cellStyle name="Note 37" xfId="1127" xr:uid="{00000000-0005-0000-0000-00006A040000}"/>
    <cellStyle name="Note 38" xfId="1128" xr:uid="{00000000-0005-0000-0000-00006B040000}"/>
    <cellStyle name="Note 39" xfId="1129" xr:uid="{00000000-0005-0000-0000-00006C040000}"/>
    <cellStyle name="Note 4" xfId="1130" xr:uid="{00000000-0005-0000-0000-00006D040000}"/>
    <cellStyle name="Note 40" xfId="1131" xr:uid="{00000000-0005-0000-0000-00006E040000}"/>
    <cellStyle name="Note 41" xfId="1132" xr:uid="{00000000-0005-0000-0000-00006F040000}"/>
    <cellStyle name="Note 42" xfId="1133" xr:uid="{00000000-0005-0000-0000-000070040000}"/>
    <cellStyle name="Note 43" xfId="1134" xr:uid="{00000000-0005-0000-0000-000071040000}"/>
    <cellStyle name="Note 44" xfId="1135" xr:uid="{00000000-0005-0000-0000-000072040000}"/>
    <cellStyle name="Note 45" xfId="1136" xr:uid="{00000000-0005-0000-0000-000073040000}"/>
    <cellStyle name="Note 5" xfId="1137" xr:uid="{00000000-0005-0000-0000-000074040000}"/>
    <cellStyle name="Note 6" xfId="1138" xr:uid="{00000000-0005-0000-0000-000075040000}"/>
    <cellStyle name="Note 7" xfId="1139" xr:uid="{00000000-0005-0000-0000-000076040000}"/>
    <cellStyle name="Note 8" xfId="1140" xr:uid="{00000000-0005-0000-0000-000077040000}"/>
    <cellStyle name="Note 9" xfId="1141" xr:uid="{00000000-0005-0000-0000-000078040000}"/>
    <cellStyle name="Output" xfId="1142" xr:uid="{00000000-0005-0000-0000-000079040000}"/>
    <cellStyle name="Output 10" xfId="1143" xr:uid="{00000000-0005-0000-0000-00007A040000}"/>
    <cellStyle name="Output 11" xfId="1144" xr:uid="{00000000-0005-0000-0000-00007B040000}"/>
    <cellStyle name="Output 12" xfId="1145" xr:uid="{00000000-0005-0000-0000-00007C040000}"/>
    <cellStyle name="Output 13" xfId="1146" xr:uid="{00000000-0005-0000-0000-00007D040000}"/>
    <cellStyle name="Output 14" xfId="1147" xr:uid="{00000000-0005-0000-0000-00007E040000}"/>
    <cellStyle name="Output 15" xfId="1148" xr:uid="{00000000-0005-0000-0000-00007F040000}"/>
    <cellStyle name="Output 16" xfId="1149" xr:uid="{00000000-0005-0000-0000-000080040000}"/>
    <cellStyle name="Output 17" xfId="1150" xr:uid="{00000000-0005-0000-0000-000081040000}"/>
    <cellStyle name="Output 18" xfId="1151" xr:uid="{00000000-0005-0000-0000-000082040000}"/>
    <cellStyle name="Output 19" xfId="1152" xr:uid="{00000000-0005-0000-0000-000083040000}"/>
    <cellStyle name="Output 2" xfId="1153" xr:uid="{00000000-0005-0000-0000-000084040000}"/>
    <cellStyle name="Output 20" xfId="1154" xr:uid="{00000000-0005-0000-0000-000085040000}"/>
    <cellStyle name="Output 21" xfId="1155" xr:uid="{00000000-0005-0000-0000-000086040000}"/>
    <cellStyle name="Output 22" xfId="1156" xr:uid="{00000000-0005-0000-0000-000087040000}"/>
    <cellStyle name="Output 23" xfId="1157" xr:uid="{00000000-0005-0000-0000-000088040000}"/>
    <cellStyle name="Output 24" xfId="1158" xr:uid="{00000000-0005-0000-0000-000089040000}"/>
    <cellStyle name="Output 25" xfId="1159" xr:uid="{00000000-0005-0000-0000-00008A040000}"/>
    <cellStyle name="Output 26" xfId="1160" xr:uid="{00000000-0005-0000-0000-00008B040000}"/>
    <cellStyle name="Output 27" xfId="1161" xr:uid="{00000000-0005-0000-0000-00008C040000}"/>
    <cellStyle name="Output 28" xfId="1162" xr:uid="{00000000-0005-0000-0000-00008D040000}"/>
    <cellStyle name="Output 29" xfId="1163" xr:uid="{00000000-0005-0000-0000-00008E040000}"/>
    <cellStyle name="Output 3" xfId="1164" xr:uid="{00000000-0005-0000-0000-00008F040000}"/>
    <cellStyle name="Output 4" xfId="1165" xr:uid="{00000000-0005-0000-0000-000090040000}"/>
    <cellStyle name="Output 5" xfId="1166" xr:uid="{00000000-0005-0000-0000-000091040000}"/>
    <cellStyle name="Output 6" xfId="1167" xr:uid="{00000000-0005-0000-0000-000092040000}"/>
    <cellStyle name="Output 7" xfId="1168" xr:uid="{00000000-0005-0000-0000-000093040000}"/>
    <cellStyle name="Output 8" xfId="1169" xr:uid="{00000000-0005-0000-0000-000094040000}"/>
    <cellStyle name="Output 9" xfId="1170" xr:uid="{00000000-0005-0000-0000-000095040000}"/>
    <cellStyle name="Percent 2" xfId="1171" xr:uid="{00000000-0005-0000-0000-000096040000}"/>
    <cellStyle name="Porcentaje" xfId="1" builtinId="5"/>
    <cellStyle name="Porcentaje 2" xfId="1172" xr:uid="{00000000-0005-0000-0000-000097040000}"/>
    <cellStyle name="Porcentaje 3" xfId="1173" xr:uid="{00000000-0005-0000-0000-000098040000}"/>
    <cellStyle name="Porcentaje 4" xfId="1174" xr:uid="{00000000-0005-0000-0000-000099040000}"/>
    <cellStyle name="Porcentual 10" xfId="1175" xr:uid="{00000000-0005-0000-0000-00009A040000}"/>
    <cellStyle name="Porcentual 2" xfId="1176" xr:uid="{00000000-0005-0000-0000-00009B040000}"/>
    <cellStyle name="Porcentual 2 2" xfId="1177" xr:uid="{00000000-0005-0000-0000-00009C040000}"/>
    <cellStyle name="Porcentual 2 3" xfId="1178" xr:uid="{00000000-0005-0000-0000-00009D040000}"/>
    <cellStyle name="Porcentual 3" xfId="1179" xr:uid="{00000000-0005-0000-0000-00009E040000}"/>
    <cellStyle name="Porcentual 3 2" xfId="1180" xr:uid="{00000000-0005-0000-0000-00009F040000}"/>
    <cellStyle name="Porcentual 4" xfId="1181" xr:uid="{00000000-0005-0000-0000-0000A0040000}"/>
    <cellStyle name="Porcentual 5" xfId="1182" xr:uid="{00000000-0005-0000-0000-0000A1040000}"/>
    <cellStyle name="Porcentual 6" xfId="1183" xr:uid="{00000000-0005-0000-0000-0000A2040000}"/>
    <cellStyle name="Porcentual 6 10" xfId="1184" xr:uid="{00000000-0005-0000-0000-0000A3040000}"/>
    <cellStyle name="Porcentual 6 11" xfId="1185" xr:uid="{00000000-0005-0000-0000-0000A4040000}"/>
    <cellStyle name="Porcentual 6 12" xfId="1186" xr:uid="{00000000-0005-0000-0000-0000A5040000}"/>
    <cellStyle name="Porcentual 6 13" xfId="1187" xr:uid="{00000000-0005-0000-0000-0000A6040000}"/>
    <cellStyle name="Porcentual 6 14" xfId="1188" xr:uid="{00000000-0005-0000-0000-0000A7040000}"/>
    <cellStyle name="Porcentual 6 15" xfId="1189" xr:uid="{00000000-0005-0000-0000-0000A8040000}"/>
    <cellStyle name="Porcentual 6 16" xfId="1190" xr:uid="{00000000-0005-0000-0000-0000A9040000}"/>
    <cellStyle name="Porcentual 6 17" xfId="1191" xr:uid="{00000000-0005-0000-0000-0000AA040000}"/>
    <cellStyle name="Porcentual 6 18" xfId="1192" xr:uid="{00000000-0005-0000-0000-0000AB040000}"/>
    <cellStyle name="Porcentual 6 19" xfId="1193" xr:uid="{00000000-0005-0000-0000-0000AC040000}"/>
    <cellStyle name="Porcentual 6 2" xfId="1194" xr:uid="{00000000-0005-0000-0000-0000AD040000}"/>
    <cellStyle name="Porcentual 6 20" xfId="1195" xr:uid="{00000000-0005-0000-0000-0000AE040000}"/>
    <cellStyle name="Porcentual 6 21" xfId="1196" xr:uid="{00000000-0005-0000-0000-0000AF040000}"/>
    <cellStyle name="Porcentual 6 22" xfId="1197" xr:uid="{00000000-0005-0000-0000-0000B0040000}"/>
    <cellStyle name="Porcentual 6 23" xfId="1198" xr:uid="{00000000-0005-0000-0000-0000B1040000}"/>
    <cellStyle name="Porcentual 6 24" xfId="1199" xr:uid="{00000000-0005-0000-0000-0000B2040000}"/>
    <cellStyle name="Porcentual 6 25" xfId="1200" xr:uid="{00000000-0005-0000-0000-0000B3040000}"/>
    <cellStyle name="Porcentual 6 26" xfId="1201" xr:uid="{00000000-0005-0000-0000-0000B4040000}"/>
    <cellStyle name="Porcentual 6 27" xfId="1202" xr:uid="{00000000-0005-0000-0000-0000B5040000}"/>
    <cellStyle name="Porcentual 6 28" xfId="1203" xr:uid="{00000000-0005-0000-0000-0000B6040000}"/>
    <cellStyle name="Porcentual 6 29" xfId="1204" xr:uid="{00000000-0005-0000-0000-0000B7040000}"/>
    <cellStyle name="Porcentual 6 3" xfId="1205" xr:uid="{00000000-0005-0000-0000-0000B8040000}"/>
    <cellStyle name="Porcentual 6 30" xfId="1206" xr:uid="{00000000-0005-0000-0000-0000B9040000}"/>
    <cellStyle name="Porcentual 6 31" xfId="1207" xr:uid="{00000000-0005-0000-0000-0000BA040000}"/>
    <cellStyle name="Porcentual 6 32" xfId="1208" xr:uid="{00000000-0005-0000-0000-0000BB040000}"/>
    <cellStyle name="Porcentual 6 33" xfId="1209" xr:uid="{00000000-0005-0000-0000-0000BC040000}"/>
    <cellStyle name="Porcentual 6 34" xfId="1210" xr:uid="{00000000-0005-0000-0000-0000BD040000}"/>
    <cellStyle name="Porcentual 6 35" xfId="1211" xr:uid="{00000000-0005-0000-0000-0000BE040000}"/>
    <cellStyle name="Porcentual 6 36" xfId="1212" xr:uid="{00000000-0005-0000-0000-0000BF040000}"/>
    <cellStyle name="Porcentual 6 37" xfId="1213" xr:uid="{00000000-0005-0000-0000-0000C0040000}"/>
    <cellStyle name="Porcentual 6 38" xfId="1214" xr:uid="{00000000-0005-0000-0000-0000C1040000}"/>
    <cellStyle name="Porcentual 6 39" xfId="1215" xr:uid="{00000000-0005-0000-0000-0000C2040000}"/>
    <cellStyle name="Porcentual 6 4" xfId="1216" xr:uid="{00000000-0005-0000-0000-0000C3040000}"/>
    <cellStyle name="Porcentual 6 40" xfId="1217" xr:uid="{00000000-0005-0000-0000-0000C4040000}"/>
    <cellStyle name="Porcentual 6 41" xfId="1218" xr:uid="{00000000-0005-0000-0000-0000C5040000}"/>
    <cellStyle name="Porcentual 6 42" xfId="1219" xr:uid="{00000000-0005-0000-0000-0000C6040000}"/>
    <cellStyle name="Porcentual 6 43" xfId="1220" xr:uid="{00000000-0005-0000-0000-0000C7040000}"/>
    <cellStyle name="Porcentual 6 44" xfId="1221" xr:uid="{00000000-0005-0000-0000-0000C8040000}"/>
    <cellStyle name="Porcentual 6 45" xfId="1222" xr:uid="{00000000-0005-0000-0000-0000C9040000}"/>
    <cellStyle name="Porcentual 6 5" xfId="1223" xr:uid="{00000000-0005-0000-0000-0000CA040000}"/>
    <cellStyle name="Porcentual 6 6" xfId="1224" xr:uid="{00000000-0005-0000-0000-0000CB040000}"/>
    <cellStyle name="Porcentual 6 7" xfId="1225" xr:uid="{00000000-0005-0000-0000-0000CC040000}"/>
    <cellStyle name="Porcentual 6 8" xfId="1226" xr:uid="{00000000-0005-0000-0000-0000CD040000}"/>
    <cellStyle name="Porcentual 6 9" xfId="1227" xr:uid="{00000000-0005-0000-0000-0000CE040000}"/>
    <cellStyle name="Porcentual 7" xfId="1228" xr:uid="{00000000-0005-0000-0000-0000CF040000}"/>
    <cellStyle name="Porcentual 7 10" xfId="1229" xr:uid="{00000000-0005-0000-0000-0000D0040000}"/>
    <cellStyle name="Porcentual 7 11" xfId="1230" xr:uid="{00000000-0005-0000-0000-0000D1040000}"/>
    <cellStyle name="Porcentual 7 12" xfId="1231" xr:uid="{00000000-0005-0000-0000-0000D2040000}"/>
    <cellStyle name="Porcentual 7 13" xfId="1232" xr:uid="{00000000-0005-0000-0000-0000D3040000}"/>
    <cellStyle name="Porcentual 7 14" xfId="1233" xr:uid="{00000000-0005-0000-0000-0000D4040000}"/>
    <cellStyle name="Porcentual 7 15" xfId="1234" xr:uid="{00000000-0005-0000-0000-0000D5040000}"/>
    <cellStyle name="Porcentual 7 16" xfId="1235" xr:uid="{00000000-0005-0000-0000-0000D6040000}"/>
    <cellStyle name="Porcentual 7 17" xfId="1236" xr:uid="{00000000-0005-0000-0000-0000D7040000}"/>
    <cellStyle name="Porcentual 7 18" xfId="1237" xr:uid="{00000000-0005-0000-0000-0000D8040000}"/>
    <cellStyle name="Porcentual 7 19" xfId="1238" xr:uid="{00000000-0005-0000-0000-0000D9040000}"/>
    <cellStyle name="Porcentual 7 2" xfId="1239" xr:uid="{00000000-0005-0000-0000-0000DA040000}"/>
    <cellStyle name="Porcentual 7 20" xfId="1240" xr:uid="{00000000-0005-0000-0000-0000DB040000}"/>
    <cellStyle name="Porcentual 7 21" xfId="1241" xr:uid="{00000000-0005-0000-0000-0000DC040000}"/>
    <cellStyle name="Porcentual 7 22" xfId="1242" xr:uid="{00000000-0005-0000-0000-0000DD040000}"/>
    <cellStyle name="Porcentual 7 23" xfId="1243" xr:uid="{00000000-0005-0000-0000-0000DE040000}"/>
    <cellStyle name="Porcentual 7 24" xfId="1244" xr:uid="{00000000-0005-0000-0000-0000DF040000}"/>
    <cellStyle name="Porcentual 7 25" xfId="1245" xr:uid="{00000000-0005-0000-0000-0000E0040000}"/>
    <cellStyle name="Porcentual 7 26" xfId="1246" xr:uid="{00000000-0005-0000-0000-0000E1040000}"/>
    <cellStyle name="Porcentual 7 27" xfId="1247" xr:uid="{00000000-0005-0000-0000-0000E2040000}"/>
    <cellStyle name="Porcentual 7 28" xfId="1248" xr:uid="{00000000-0005-0000-0000-0000E3040000}"/>
    <cellStyle name="Porcentual 7 29" xfId="1249" xr:uid="{00000000-0005-0000-0000-0000E4040000}"/>
    <cellStyle name="Porcentual 7 3" xfId="1250" xr:uid="{00000000-0005-0000-0000-0000E5040000}"/>
    <cellStyle name="Porcentual 7 30" xfId="1251" xr:uid="{00000000-0005-0000-0000-0000E6040000}"/>
    <cellStyle name="Porcentual 7 31" xfId="1252" xr:uid="{00000000-0005-0000-0000-0000E7040000}"/>
    <cellStyle name="Porcentual 7 32" xfId="1253" xr:uid="{00000000-0005-0000-0000-0000E8040000}"/>
    <cellStyle name="Porcentual 7 33" xfId="1254" xr:uid="{00000000-0005-0000-0000-0000E9040000}"/>
    <cellStyle name="Porcentual 7 34" xfId="1255" xr:uid="{00000000-0005-0000-0000-0000EA040000}"/>
    <cellStyle name="Porcentual 7 35" xfId="1256" xr:uid="{00000000-0005-0000-0000-0000EB040000}"/>
    <cellStyle name="Porcentual 7 36" xfId="1257" xr:uid="{00000000-0005-0000-0000-0000EC040000}"/>
    <cellStyle name="Porcentual 7 37" xfId="1258" xr:uid="{00000000-0005-0000-0000-0000ED040000}"/>
    <cellStyle name="Porcentual 7 38" xfId="1259" xr:uid="{00000000-0005-0000-0000-0000EE040000}"/>
    <cellStyle name="Porcentual 7 39" xfId="1260" xr:uid="{00000000-0005-0000-0000-0000EF040000}"/>
    <cellStyle name="Porcentual 7 4" xfId="1261" xr:uid="{00000000-0005-0000-0000-0000F0040000}"/>
    <cellStyle name="Porcentual 7 40" xfId="1262" xr:uid="{00000000-0005-0000-0000-0000F1040000}"/>
    <cellStyle name="Porcentual 7 41" xfId="1263" xr:uid="{00000000-0005-0000-0000-0000F2040000}"/>
    <cellStyle name="Porcentual 7 42" xfId="1264" xr:uid="{00000000-0005-0000-0000-0000F3040000}"/>
    <cellStyle name="Porcentual 7 43" xfId="1265" xr:uid="{00000000-0005-0000-0000-0000F4040000}"/>
    <cellStyle name="Porcentual 7 44" xfId="1266" xr:uid="{00000000-0005-0000-0000-0000F5040000}"/>
    <cellStyle name="Porcentual 7 5" xfId="1267" xr:uid="{00000000-0005-0000-0000-0000F6040000}"/>
    <cellStyle name="Porcentual 7 6" xfId="1268" xr:uid="{00000000-0005-0000-0000-0000F7040000}"/>
    <cellStyle name="Porcentual 7 7" xfId="1269" xr:uid="{00000000-0005-0000-0000-0000F8040000}"/>
    <cellStyle name="Porcentual 7 8" xfId="1270" xr:uid="{00000000-0005-0000-0000-0000F9040000}"/>
    <cellStyle name="Porcentual 7 9" xfId="1271" xr:uid="{00000000-0005-0000-0000-0000FA040000}"/>
    <cellStyle name="Style 1" xfId="1272" xr:uid="{00000000-0005-0000-0000-0000FB040000}"/>
    <cellStyle name="Style 1 10" xfId="1273" xr:uid="{00000000-0005-0000-0000-0000FC040000}"/>
    <cellStyle name="Style 1 11" xfId="1274" xr:uid="{00000000-0005-0000-0000-0000FD040000}"/>
    <cellStyle name="Style 1 12" xfId="1275" xr:uid="{00000000-0005-0000-0000-0000FE040000}"/>
    <cellStyle name="Style 1 13" xfId="1276" xr:uid="{00000000-0005-0000-0000-0000FF040000}"/>
    <cellStyle name="Style 1 14" xfId="1277" xr:uid="{00000000-0005-0000-0000-000000050000}"/>
    <cellStyle name="Style 1 15" xfId="1278" xr:uid="{00000000-0005-0000-0000-000001050000}"/>
    <cellStyle name="Style 1 16" xfId="1279" xr:uid="{00000000-0005-0000-0000-000002050000}"/>
    <cellStyle name="Style 1 17" xfId="1280" xr:uid="{00000000-0005-0000-0000-000003050000}"/>
    <cellStyle name="Style 1 18" xfId="1281" xr:uid="{00000000-0005-0000-0000-000004050000}"/>
    <cellStyle name="Style 1 19" xfId="1282" xr:uid="{00000000-0005-0000-0000-000005050000}"/>
    <cellStyle name="Style 1 2" xfId="1283" xr:uid="{00000000-0005-0000-0000-000006050000}"/>
    <cellStyle name="Style 1 20" xfId="1284" xr:uid="{00000000-0005-0000-0000-000007050000}"/>
    <cellStyle name="Style 1 21" xfId="1285" xr:uid="{00000000-0005-0000-0000-000008050000}"/>
    <cellStyle name="Style 1 22" xfId="1286" xr:uid="{00000000-0005-0000-0000-000009050000}"/>
    <cellStyle name="Style 1 23" xfId="1287" xr:uid="{00000000-0005-0000-0000-00000A050000}"/>
    <cellStyle name="Style 1 24" xfId="1288" xr:uid="{00000000-0005-0000-0000-00000B050000}"/>
    <cellStyle name="Style 1 25" xfId="1289" xr:uid="{00000000-0005-0000-0000-00000C050000}"/>
    <cellStyle name="Style 1 26" xfId="1290" xr:uid="{00000000-0005-0000-0000-00000D050000}"/>
    <cellStyle name="Style 1 27" xfId="1291" xr:uid="{00000000-0005-0000-0000-00000E050000}"/>
    <cellStyle name="Style 1 28" xfId="1292" xr:uid="{00000000-0005-0000-0000-00000F050000}"/>
    <cellStyle name="Style 1 29" xfId="1293" xr:uid="{00000000-0005-0000-0000-000010050000}"/>
    <cellStyle name="Style 1 3" xfId="1294" xr:uid="{00000000-0005-0000-0000-000011050000}"/>
    <cellStyle name="Style 1 30" xfId="1295" xr:uid="{00000000-0005-0000-0000-000012050000}"/>
    <cellStyle name="Style 1 31" xfId="1296" xr:uid="{00000000-0005-0000-0000-000013050000}"/>
    <cellStyle name="Style 1 32" xfId="1297" xr:uid="{00000000-0005-0000-0000-000014050000}"/>
    <cellStyle name="Style 1 33" xfId="1298" xr:uid="{00000000-0005-0000-0000-000015050000}"/>
    <cellStyle name="Style 1 34" xfId="1299" xr:uid="{00000000-0005-0000-0000-000016050000}"/>
    <cellStyle name="Style 1 35" xfId="1300" xr:uid="{00000000-0005-0000-0000-000017050000}"/>
    <cellStyle name="Style 1 36" xfId="1301" xr:uid="{00000000-0005-0000-0000-000018050000}"/>
    <cellStyle name="Style 1 37" xfId="1302" xr:uid="{00000000-0005-0000-0000-000019050000}"/>
    <cellStyle name="Style 1 38" xfId="1303" xr:uid="{00000000-0005-0000-0000-00001A050000}"/>
    <cellStyle name="Style 1 39" xfId="1304" xr:uid="{00000000-0005-0000-0000-00001B050000}"/>
    <cellStyle name="Style 1 4" xfId="1305" xr:uid="{00000000-0005-0000-0000-00001C050000}"/>
    <cellStyle name="Style 1 40" xfId="1306" xr:uid="{00000000-0005-0000-0000-00001D050000}"/>
    <cellStyle name="Style 1 41" xfId="1307" xr:uid="{00000000-0005-0000-0000-00001E050000}"/>
    <cellStyle name="Style 1 42" xfId="1308" xr:uid="{00000000-0005-0000-0000-00001F050000}"/>
    <cellStyle name="Style 1 43" xfId="1309" xr:uid="{00000000-0005-0000-0000-000020050000}"/>
    <cellStyle name="Style 1 44" xfId="1310" xr:uid="{00000000-0005-0000-0000-000021050000}"/>
    <cellStyle name="Style 1 5" xfId="1311" xr:uid="{00000000-0005-0000-0000-000022050000}"/>
    <cellStyle name="Style 1 6" xfId="1312" xr:uid="{00000000-0005-0000-0000-000023050000}"/>
    <cellStyle name="Style 1 7" xfId="1313" xr:uid="{00000000-0005-0000-0000-000024050000}"/>
    <cellStyle name="Style 1 8" xfId="1314" xr:uid="{00000000-0005-0000-0000-000025050000}"/>
    <cellStyle name="Style 1 9" xfId="1315" xr:uid="{00000000-0005-0000-0000-000026050000}"/>
    <cellStyle name="Title" xfId="1316" xr:uid="{00000000-0005-0000-0000-000027050000}"/>
    <cellStyle name="Title 10" xfId="1317" xr:uid="{00000000-0005-0000-0000-000028050000}"/>
    <cellStyle name="Title 11" xfId="1318" xr:uid="{00000000-0005-0000-0000-000029050000}"/>
    <cellStyle name="Title 12" xfId="1319" xr:uid="{00000000-0005-0000-0000-00002A050000}"/>
    <cellStyle name="Title 13" xfId="1320" xr:uid="{00000000-0005-0000-0000-00002B050000}"/>
    <cellStyle name="Title 14" xfId="1321" xr:uid="{00000000-0005-0000-0000-00002C050000}"/>
    <cellStyle name="Title 15" xfId="1322" xr:uid="{00000000-0005-0000-0000-00002D050000}"/>
    <cellStyle name="Title 16" xfId="1323" xr:uid="{00000000-0005-0000-0000-00002E050000}"/>
    <cellStyle name="Title 17" xfId="1324" xr:uid="{00000000-0005-0000-0000-00002F050000}"/>
    <cellStyle name="Title 18" xfId="1325" xr:uid="{00000000-0005-0000-0000-000030050000}"/>
    <cellStyle name="Title 19" xfId="1326" xr:uid="{00000000-0005-0000-0000-000031050000}"/>
    <cellStyle name="Title 2" xfId="1327" xr:uid="{00000000-0005-0000-0000-000032050000}"/>
    <cellStyle name="Title 20" xfId="1328" xr:uid="{00000000-0005-0000-0000-000033050000}"/>
    <cellStyle name="Title 21" xfId="1329" xr:uid="{00000000-0005-0000-0000-000034050000}"/>
    <cellStyle name="Title 22" xfId="1330" xr:uid="{00000000-0005-0000-0000-000035050000}"/>
    <cellStyle name="Title 23" xfId="1331" xr:uid="{00000000-0005-0000-0000-000036050000}"/>
    <cellStyle name="Title 24" xfId="1332" xr:uid="{00000000-0005-0000-0000-000037050000}"/>
    <cellStyle name="Title 25" xfId="1333" xr:uid="{00000000-0005-0000-0000-000038050000}"/>
    <cellStyle name="Title 26" xfId="1334" xr:uid="{00000000-0005-0000-0000-000039050000}"/>
    <cellStyle name="Title 27" xfId="1335" xr:uid="{00000000-0005-0000-0000-00003A050000}"/>
    <cellStyle name="Title 28" xfId="1336" xr:uid="{00000000-0005-0000-0000-00003B050000}"/>
    <cellStyle name="Title 29" xfId="1337" xr:uid="{00000000-0005-0000-0000-00003C050000}"/>
    <cellStyle name="Title 3" xfId="1338" xr:uid="{00000000-0005-0000-0000-00003D050000}"/>
    <cellStyle name="Title 4" xfId="1339" xr:uid="{00000000-0005-0000-0000-00003E050000}"/>
    <cellStyle name="Title 5" xfId="1340" xr:uid="{00000000-0005-0000-0000-00003F050000}"/>
    <cellStyle name="Title 6" xfId="1341" xr:uid="{00000000-0005-0000-0000-000040050000}"/>
    <cellStyle name="Title 7" xfId="1342" xr:uid="{00000000-0005-0000-0000-000041050000}"/>
    <cellStyle name="Title 8" xfId="1343" xr:uid="{00000000-0005-0000-0000-000042050000}"/>
    <cellStyle name="Title 9" xfId="1344" xr:uid="{00000000-0005-0000-0000-000043050000}"/>
    <cellStyle name="Warning Text" xfId="1345" xr:uid="{00000000-0005-0000-0000-00004405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CCFF99"/>
      <rgbColor rgb="FFF9F9F9"/>
      <rgbColor rgb="FFDBEEF4"/>
      <rgbColor rgb="FF800000"/>
      <rgbColor rgb="FF008000"/>
      <rgbColor rgb="FF000080"/>
      <rgbColor rgb="FFEEECE1"/>
      <rgbColor rgb="FF800080"/>
      <rgbColor rgb="FF2C9243"/>
      <rgbColor rgb="FFC0C0C0"/>
      <rgbColor rgb="FF808080"/>
      <rgbColor rgb="FFDDD9C3"/>
      <rgbColor rgb="FFFDEADA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BE5D6"/>
      <rgbColor rgb="FFDCE6F2"/>
      <rgbColor rgb="FF800080"/>
      <rgbColor rgb="FF800000"/>
      <rgbColor rgb="FFEBF1DE"/>
      <rgbColor rgb="FF0000FF"/>
      <rgbColor rgb="FFDAE3F3"/>
      <rgbColor rgb="FFD2F9FE"/>
      <rgbColor rgb="FFCCFFCC"/>
      <rgbColor rgb="FFEBFED2"/>
      <rgbColor rgb="FF99CCFF"/>
      <rgbColor rgb="FFFF99CC"/>
      <rgbColor rgb="FFCC99FF"/>
      <rgbColor rgb="FFFFCC99"/>
      <rgbColor rgb="FFDEEBF7"/>
      <rgbColor rgb="FF33CCCC"/>
      <rgbColor rgb="FFE2F0D9"/>
      <rgbColor rgb="FFFFCC00"/>
      <rgbColor rgb="FFFF9900"/>
      <rgbColor rgb="FFFF6600"/>
      <rgbColor rgb="FF4A80AE"/>
      <rgbColor rgb="FF969696"/>
      <rgbColor rgb="FF003366"/>
      <rgbColor rgb="FF339966"/>
      <rgbColor rgb="FF003300"/>
      <rgbColor rgb="FF333300"/>
      <rgbColor rgb="FFEEEEEE"/>
      <rgbColor rgb="FFEDEDED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2FAFE"/>
      <color rgb="FFFFF2CC"/>
      <color rgb="FFFFFF66"/>
      <color rgb="FFF9E0AD"/>
      <color rgb="FF99FF66"/>
      <color rgb="FFFFFF99"/>
      <color rgb="FFEDED79"/>
      <color rgb="FFC2F7FE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gif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5" Type="http://schemas.openxmlformats.org/officeDocument/2006/relationships/image" Target="../media/image7.wmf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444600</xdr:colOff>
      <xdr:row>170</xdr:row>
      <xdr:rowOff>0</xdr:rowOff>
    </xdr:from>
    <xdr:to>
      <xdr:col>24</xdr:col>
      <xdr:colOff>15120</xdr:colOff>
      <xdr:row>177</xdr:row>
      <xdr:rowOff>154939</xdr:rowOff>
    </xdr:to>
    <xdr:pic>
      <xdr:nvPicPr>
        <xdr:cNvPr id="47" name="5 Imagen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490200" y="53654040"/>
          <a:ext cx="3599640" cy="1844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1003320</xdr:colOff>
      <xdr:row>170</xdr:row>
      <xdr:rowOff>0</xdr:rowOff>
    </xdr:from>
    <xdr:to>
      <xdr:col>9</xdr:col>
      <xdr:colOff>1005840</xdr:colOff>
      <xdr:row>172</xdr:row>
      <xdr:rowOff>161280</xdr:rowOff>
    </xdr:to>
    <xdr:pic>
      <xdr:nvPicPr>
        <xdr:cNvPr id="48" name="6 Imagen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/>
      </xdr:nvPicPr>
      <xdr:blipFill>
        <a:blip xmlns:r="http://schemas.openxmlformats.org/officeDocument/2006/relationships" r:embed="rId2"/>
        <a:srcRect t="-2701" r="50939"/>
        <a:stretch/>
      </xdr:blipFill>
      <xdr:spPr>
        <a:xfrm>
          <a:off x="15899760" y="54416160"/>
          <a:ext cx="2520" cy="542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253980</xdr:colOff>
      <xdr:row>180</xdr:row>
      <xdr:rowOff>88940</xdr:rowOff>
    </xdr:from>
    <xdr:to>
      <xdr:col>3</xdr:col>
      <xdr:colOff>856741</xdr:colOff>
      <xdr:row>192</xdr:row>
      <xdr:rowOff>123340</xdr:rowOff>
    </xdr:to>
    <xdr:pic>
      <xdr:nvPicPr>
        <xdr:cNvPr id="50" name="11 Imagen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863580" y="36817340"/>
          <a:ext cx="4288730" cy="2676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39</xdr:col>
      <xdr:colOff>571380</xdr:colOff>
      <xdr:row>123</xdr:row>
      <xdr:rowOff>88800</xdr:rowOff>
    </xdr:from>
    <xdr:to>
      <xdr:col>52</xdr:col>
      <xdr:colOff>418499</xdr:colOff>
      <xdr:row>167</xdr:row>
      <xdr:rowOff>8701</xdr:rowOff>
    </xdr:to>
    <xdr:pic>
      <xdr:nvPicPr>
        <xdr:cNvPr id="52" name="PERF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3700580" y="51752400"/>
          <a:ext cx="9753120" cy="83019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336960</xdr:colOff>
      <xdr:row>194</xdr:row>
      <xdr:rowOff>152280</xdr:rowOff>
    </xdr:from>
    <xdr:to>
      <xdr:col>3</xdr:col>
      <xdr:colOff>662881</xdr:colOff>
      <xdr:row>206</xdr:row>
      <xdr:rowOff>154801</xdr:rowOff>
    </xdr:to>
    <xdr:pic>
      <xdr:nvPicPr>
        <xdr:cNvPr id="54" name="16 Imagen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82080" y="32403600"/>
          <a:ext cx="4261320" cy="2288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0</xdr:colOff>
      <xdr:row>120</xdr:row>
      <xdr:rowOff>88780</xdr:rowOff>
    </xdr:from>
    <xdr:to>
      <xdr:col>12</xdr:col>
      <xdr:colOff>285079</xdr:colOff>
      <xdr:row>171</xdr:row>
      <xdr:rowOff>12141</xdr:rowOff>
    </xdr:to>
    <xdr:pic>
      <xdr:nvPicPr>
        <xdr:cNvPr id="66" name="Imagen 27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1639660" y="28244680"/>
          <a:ext cx="6927180" cy="96388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586185</xdr:colOff>
      <xdr:row>120</xdr:row>
      <xdr:rowOff>136685</xdr:rowOff>
    </xdr:from>
    <xdr:to>
      <xdr:col>27</xdr:col>
      <xdr:colOff>282023</xdr:colOff>
      <xdr:row>144</xdr:row>
      <xdr:rowOff>173965</xdr:rowOff>
    </xdr:to>
    <xdr:pic>
      <xdr:nvPicPr>
        <xdr:cNvPr id="68" name="Imagen 32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26456085" y="27746485"/>
          <a:ext cx="7315840" cy="4609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266660</xdr:colOff>
      <xdr:row>126</xdr:row>
      <xdr:rowOff>88880</xdr:rowOff>
    </xdr:from>
    <xdr:to>
      <xdr:col>36</xdr:col>
      <xdr:colOff>240742</xdr:colOff>
      <xdr:row>165</xdr:row>
      <xdr:rowOff>121880</xdr:rowOff>
    </xdr:to>
    <xdr:pic>
      <xdr:nvPicPr>
        <xdr:cNvPr id="72" name="2 Imagen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35369460" y="29463980"/>
          <a:ext cx="5308080" cy="74625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787400</xdr:colOff>
      <xdr:row>121</xdr:row>
      <xdr:rowOff>88900</xdr:rowOff>
    </xdr:from>
    <xdr:to>
      <xdr:col>17</xdr:col>
      <xdr:colOff>152400</xdr:colOff>
      <xdr:row>148</xdr:row>
      <xdr:rowOff>50801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135CFB12-EE8A-4A47-99B8-48C1A52EF2BB}"/>
            </a:ext>
          </a:extLst>
        </xdr:cNvPr>
        <xdr:cNvPicPr/>
      </xdr:nvPicPr>
      <xdr:blipFill rotWithShape="1">
        <a:blip xmlns:r="http://schemas.openxmlformats.org/officeDocument/2006/relationships" r:embed="rId9"/>
        <a:srcRect l="11752" t="49679" r="32051" b="5450"/>
        <a:stretch/>
      </xdr:blipFill>
      <xdr:spPr bwMode="auto">
        <a:xfrm>
          <a:off x="19748500" y="28435300"/>
          <a:ext cx="6146800" cy="51054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24</xdr:row>
      <xdr:rowOff>0</xdr:rowOff>
    </xdr:from>
    <xdr:to>
      <xdr:col>7</xdr:col>
      <xdr:colOff>304800</xdr:colOff>
      <xdr:row>25</xdr:row>
      <xdr:rowOff>114300</xdr:rowOff>
    </xdr:to>
    <xdr:sp macro="" textlink="">
      <xdr:nvSpPr>
        <xdr:cNvPr id="4" name="AutoShape 5" descr="{\displaystyle Q=0.2787\ C\ D_{i}^{2.63}\ S^{0.54}}">
          <a:extLst>
            <a:ext uri="{FF2B5EF4-FFF2-40B4-BE49-F238E27FC236}">
              <a16:creationId xmlns:a16="http://schemas.microsoft.com/office/drawing/2014/main" id="{FCB9C5AE-1CD0-41C4-B54F-AB53C9442C15}"/>
            </a:ext>
          </a:extLst>
        </xdr:cNvPr>
        <xdr:cNvSpPr>
          <a:spLocks noChangeAspect="1" noChangeArrowheads="1"/>
        </xdr:cNvSpPr>
      </xdr:nvSpPr>
      <xdr:spPr bwMode="auto">
        <a:xfrm>
          <a:off x="9105900" y="535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13</xdr:col>
      <xdr:colOff>0</xdr:colOff>
      <xdr:row>58</xdr:row>
      <xdr:rowOff>0</xdr:rowOff>
    </xdr:from>
    <xdr:ext cx="304800" cy="304800"/>
    <xdr:sp macro="" textlink="">
      <xdr:nvSpPr>
        <xdr:cNvPr id="5" name="AutoShape 5" descr="{\displaystyle Q=0.2787\ C\ D_{i}^{2.63}\ S^{0.54}}">
          <a:extLst>
            <a:ext uri="{FF2B5EF4-FFF2-40B4-BE49-F238E27FC236}">
              <a16:creationId xmlns:a16="http://schemas.microsoft.com/office/drawing/2014/main" id="{127AA5DA-1368-458E-BDBD-8BBEBF392DA2}"/>
            </a:ext>
          </a:extLst>
        </xdr:cNvPr>
        <xdr:cNvSpPr>
          <a:spLocks noChangeAspect="1" noChangeArrowheads="1"/>
        </xdr:cNvSpPr>
      </xdr:nvSpPr>
      <xdr:spPr bwMode="auto">
        <a:xfrm>
          <a:off x="14868525" y="1244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317500</xdr:colOff>
      <xdr:row>14</xdr:row>
      <xdr:rowOff>114299</xdr:rowOff>
    </xdr:from>
    <xdr:to>
      <xdr:col>11</xdr:col>
      <xdr:colOff>317500</xdr:colOff>
      <xdr:row>54</xdr:row>
      <xdr:rowOff>127000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3996A3B-F92C-4D86-B8AF-034847B709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272" t="14196" r="37179" b="6237"/>
        <a:stretch/>
      </xdr:blipFill>
      <xdr:spPr>
        <a:xfrm>
          <a:off x="7899400" y="2959099"/>
          <a:ext cx="5918200" cy="7759701"/>
        </a:xfrm>
        <a:prstGeom prst="rect">
          <a:avLst/>
        </a:prstGeom>
      </xdr:spPr>
    </xdr:pic>
    <xdr:clientData/>
  </xdr:twoCellAnchor>
  <xdr:twoCellAnchor editAs="oneCell">
    <xdr:from>
      <xdr:col>12</xdr:col>
      <xdr:colOff>406400</xdr:colOff>
      <xdr:row>15</xdr:row>
      <xdr:rowOff>76200</xdr:rowOff>
    </xdr:from>
    <xdr:to>
      <xdr:col>21</xdr:col>
      <xdr:colOff>474056</xdr:colOff>
      <xdr:row>64</xdr:row>
      <xdr:rowOff>126311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DE4590E-245E-4D76-BC5E-4E5896F94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51000" y="3111500"/>
          <a:ext cx="6925656" cy="9638611"/>
        </a:xfrm>
        <a:prstGeom prst="rect">
          <a:avLst/>
        </a:prstGeom>
      </xdr:spPr>
    </xdr:pic>
    <xdr:clientData/>
  </xdr:twoCellAnchor>
  <xdr:twoCellAnchor editAs="oneCell">
    <xdr:from>
      <xdr:col>0</xdr:col>
      <xdr:colOff>469900</xdr:colOff>
      <xdr:row>14</xdr:row>
      <xdr:rowOff>101600</xdr:rowOff>
    </xdr:from>
    <xdr:to>
      <xdr:col>4</xdr:col>
      <xdr:colOff>835193</xdr:colOff>
      <xdr:row>35</xdr:row>
      <xdr:rowOff>185774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290CC24-8590-4D63-8F15-E411C38D1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9900" y="2946400"/>
          <a:ext cx="6334293" cy="4084674"/>
        </a:xfrm>
        <a:prstGeom prst="rect">
          <a:avLst/>
        </a:prstGeom>
      </xdr:spPr>
    </xdr:pic>
    <xdr:clientData/>
  </xdr:twoCellAnchor>
  <xdr:twoCellAnchor editAs="oneCell">
    <xdr:from>
      <xdr:col>0</xdr:col>
      <xdr:colOff>558800</xdr:colOff>
      <xdr:row>39</xdr:row>
      <xdr:rowOff>88899</xdr:rowOff>
    </xdr:from>
    <xdr:to>
      <xdr:col>4</xdr:col>
      <xdr:colOff>431800</xdr:colOff>
      <xdr:row>66</xdr:row>
      <xdr:rowOff>62654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7F4D110-E979-4C41-A091-8156787DD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8800" y="8267699"/>
          <a:ext cx="5842000" cy="5307755"/>
        </a:xfrm>
        <a:prstGeom prst="rect">
          <a:avLst/>
        </a:prstGeom>
      </xdr:spPr>
    </xdr:pic>
    <xdr:clientData/>
  </xdr:twoCellAnchor>
  <xdr:twoCellAnchor editAs="oneCell">
    <xdr:from>
      <xdr:col>4</xdr:col>
      <xdr:colOff>990600</xdr:colOff>
      <xdr:row>57</xdr:row>
      <xdr:rowOff>44610</xdr:rowOff>
    </xdr:from>
    <xdr:to>
      <xdr:col>12</xdr:col>
      <xdr:colOff>241940</xdr:colOff>
      <xdr:row>80</xdr:row>
      <xdr:rowOff>148565</xdr:rowOff>
    </xdr:to>
    <xdr:pic>
      <xdr:nvPicPr>
        <xdr:cNvPr id="10" name="Imagen 32">
          <a:extLst>
            <a:ext uri="{FF2B5EF4-FFF2-40B4-BE49-F238E27FC236}">
              <a16:creationId xmlns:a16="http://schemas.microsoft.com/office/drawing/2014/main" id="{7B6D0B20-E457-45BC-B298-5A24EE20C4C3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959600" y="11881010"/>
          <a:ext cx="7315840" cy="4675955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%20Propuesta%20Tecnologias%20Tratamiento%20y%20Piscicultura/Calculos/Bioportadores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Bioportadores PP"/>
      <sheetName val="Burbujas"/>
      <sheetName val="Hoja1"/>
      <sheetName val="Conjunto BF"/>
    </sheetNames>
    <sheetDataSet>
      <sheetData sheetId="0">
        <row r="32">
          <cell r="F32">
            <v>15625</v>
          </cell>
        </row>
        <row r="35">
          <cell r="F35">
            <v>605.47590018476353</v>
          </cell>
        </row>
      </sheetData>
      <sheetData sheetId="1"/>
      <sheetData sheetId="2" refreshError="1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thermexcel.com/english/tables/eau_atm.ht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619FB-A9DC-49D6-AF4A-41F923E1248E}">
  <dimension ref="A1:I92"/>
  <sheetViews>
    <sheetView showGridLines="0" topLeftCell="C1" zoomScale="75" zoomScaleNormal="75" workbookViewId="0">
      <selection activeCell="B45" sqref="B45"/>
    </sheetView>
  </sheetViews>
  <sheetFormatPr baseColWidth="10" defaultRowHeight="15" x14ac:dyDescent="0.25"/>
  <cols>
    <col min="1" max="1" width="18.85546875" customWidth="1"/>
    <col min="2" max="2" width="40.7109375" style="170" customWidth="1"/>
    <col min="3" max="3" width="66.140625" customWidth="1"/>
    <col min="4" max="4" width="11" customWidth="1"/>
    <col min="5" max="5" width="11.85546875" customWidth="1"/>
    <col min="6" max="6" width="12" customWidth="1"/>
    <col min="7" max="7" width="13.85546875" customWidth="1"/>
    <col min="8" max="8" width="14.28515625" customWidth="1"/>
    <col min="9" max="9" width="15.5703125" bestFit="1" customWidth="1"/>
  </cols>
  <sheetData>
    <row r="1" spans="1:9" ht="15.75" x14ac:dyDescent="0.25">
      <c r="C1" s="234" t="s">
        <v>117</v>
      </c>
      <c r="D1" s="2"/>
      <c r="E1" s="1"/>
    </row>
    <row r="2" spans="1:9" x14ac:dyDescent="0.25">
      <c r="C2" s="102" t="s">
        <v>356</v>
      </c>
      <c r="D2" s="2"/>
      <c r="E2" s="1"/>
      <c r="H2" s="269"/>
      <c r="I2" s="269"/>
    </row>
    <row r="3" spans="1:9" x14ac:dyDescent="0.25">
      <c r="C3" s="497" t="s">
        <v>0</v>
      </c>
      <c r="D3" s="6"/>
      <c r="E3" s="1"/>
      <c r="I3" s="269"/>
    </row>
    <row r="4" spans="1:9" x14ac:dyDescent="0.25">
      <c r="C4" s="498" t="s">
        <v>181</v>
      </c>
      <c r="D4" s="6"/>
      <c r="E4" s="1"/>
      <c r="I4" s="269"/>
    </row>
    <row r="5" spans="1:9" x14ac:dyDescent="0.25">
      <c r="C5" s="499" t="s">
        <v>246</v>
      </c>
      <c r="D5" s="1"/>
      <c r="E5" s="1"/>
    </row>
    <row r="6" spans="1:9" x14ac:dyDescent="0.25">
      <c r="C6" s="500" t="s">
        <v>357</v>
      </c>
      <c r="D6" s="102"/>
      <c r="E6" s="1"/>
    </row>
    <row r="7" spans="1:9" x14ac:dyDescent="0.25">
      <c r="C7" s="501" t="s">
        <v>247</v>
      </c>
      <c r="D7" s="71"/>
      <c r="E7" s="1"/>
      <c r="H7" s="269"/>
      <c r="I7" s="269"/>
    </row>
    <row r="8" spans="1:9" x14ac:dyDescent="0.25">
      <c r="C8" s="502" t="s">
        <v>1</v>
      </c>
      <c r="D8" s="6"/>
      <c r="E8" s="1"/>
      <c r="I8" s="269"/>
    </row>
    <row r="9" spans="1:9" x14ac:dyDescent="0.25">
      <c r="C9" s="503" t="s">
        <v>127</v>
      </c>
      <c r="D9" s="6"/>
      <c r="E9" s="6"/>
      <c r="I9" s="269"/>
    </row>
    <row r="10" spans="1:9" x14ac:dyDescent="0.25">
      <c r="C10" s="504" t="s">
        <v>248</v>
      </c>
      <c r="D10" s="1"/>
      <c r="E10" s="1"/>
    </row>
    <row r="11" spans="1:9" ht="31.5" customHeight="1" x14ac:dyDescent="0.25">
      <c r="A11" s="306" t="s">
        <v>383</v>
      </c>
      <c r="B11" s="516" t="s">
        <v>190</v>
      </c>
      <c r="C11" s="101"/>
      <c r="D11" s="94"/>
      <c r="E11" s="94"/>
      <c r="F11" s="304"/>
      <c r="G11" s="306" t="s">
        <v>191</v>
      </c>
      <c r="H11" s="307" t="s">
        <v>194</v>
      </c>
    </row>
    <row r="12" spans="1:9" ht="18.75" customHeight="1" x14ac:dyDescent="0.25">
      <c r="A12" s="169"/>
      <c r="B12" s="517"/>
      <c r="C12" s="607" t="s">
        <v>270</v>
      </c>
      <c r="D12" s="607"/>
      <c r="E12" s="607"/>
      <c r="F12" s="607"/>
      <c r="G12" s="169"/>
      <c r="H12" s="304"/>
    </row>
    <row r="13" spans="1:9" ht="15.75" x14ac:dyDescent="0.25">
      <c r="A13" s="169"/>
      <c r="B13" s="518"/>
      <c r="C13" s="302" t="s">
        <v>2</v>
      </c>
      <c r="D13" s="303"/>
      <c r="E13" s="22"/>
      <c r="F13" s="22"/>
      <c r="G13" s="305"/>
      <c r="H13" s="169"/>
    </row>
    <row r="14" spans="1:9" ht="15" customHeight="1" x14ac:dyDescent="0.25">
      <c r="A14" s="169"/>
      <c r="B14" s="519" t="s">
        <v>255</v>
      </c>
      <c r="C14" s="9" t="s">
        <v>284</v>
      </c>
      <c r="D14" s="10" t="s">
        <v>49</v>
      </c>
      <c r="E14" s="11">
        <v>4</v>
      </c>
      <c r="F14" s="4" t="s">
        <v>41</v>
      </c>
      <c r="G14" s="218">
        <v>4</v>
      </c>
      <c r="H14" s="211">
        <f t="shared" ref="H14:H20" si="0">G14-E14</f>
        <v>0</v>
      </c>
    </row>
    <row r="15" spans="1:9" ht="15" customHeight="1" x14ac:dyDescent="0.25">
      <c r="A15" s="169"/>
      <c r="B15" s="519" t="s">
        <v>255</v>
      </c>
      <c r="C15" s="9" t="s">
        <v>3</v>
      </c>
      <c r="D15" s="10" t="s">
        <v>4</v>
      </c>
      <c r="E15" s="11">
        <v>11</v>
      </c>
      <c r="F15" s="4" t="s">
        <v>5</v>
      </c>
      <c r="G15" s="218">
        <v>11</v>
      </c>
      <c r="H15" s="211">
        <f t="shared" si="0"/>
        <v>0</v>
      </c>
    </row>
    <row r="16" spans="1:9" ht="15" customHeight="1" x14ac:dyDescent="0.25">
      <c r="A16" s="169"/>
      <c r="B16" s="518"/>
      <c r="C16" s="101" t="s">
        <v>6</v>
      </c>
      <c r="D16" s="13" t="s">
        <v>7</v>
      </c>
      <c r="E16" s="127">
        <f>E15^2/19.6</f>
        <v>6.1734693877551017</v>
      </c>
      <c r="F16" s="124" t="s">
        <v>8</v>
      </c>
      <c r="G16" s="127">
        <f>G15^2/19.6</f>
        <v>6.1734693877551017</v>
      </c>
      <c r="H16" s="211">
        <f t="shared" si="0"/>
        <v>0</v>
      </c>
    </row>
    <row r="17" spans="1:8" ht="15" customHeight="1" x14ac:dyDescent="0.25">
      <c r="A17" s="169"/>
      <c r="B17" s="518"/>
      <c r="C17" s="270" t="s">
        <v>9</v>
      </c>
      <c r="D17" s="271"/>
      <c r="E17" s="231">
        <v>3</v>
      </c>
      <c r="F17" s="233" t="s">
        <v>10</v>
      </c>
      <c r="G17" s="199">
        <v>3</v>
      </c>
      <c r="H17" s="211">
        <f t="shared" si="0"/>
        <v>0</v>
      </c>
    </row>
    <row r="18" spans="1:8" ht="15" customHeight="1" x14ac:dyDescent="0.25">
      <c r="A18" s="169"/>
      <c r="B18" s="518"/>
      <c r="C18" s="270" t="s">
        <v>11</v>
      </c>
      <c r="D18" s="271"/>
      <c r="E18" s="231">
        <v>18</v>
      </c>
      <c r="F18" s="233" t="s">
        <v>10</v>
      </c>
      <c r="G18" s="199">
        <v>18</v>
      </c>
      <c r="H18" s="211">
        <f t="shared" si="0"/>
        <v>0</v>
      </c>
    </row>
    <row r="19" spans="1:8" ht="15" customHeight="1" x14ac:dyDescent="0.25">
      <c r="A19" s="169"/>
      <c r="B19" s="518"/>
      <c r="C19" s="64" t="s">
        <v>12</v>
      </c>
      <c r="D19" s="65" t="s">
        <v>124</v>
      </c>
      <c r="E19" s="128">
        <f>E17*E18</f>
        <v>54</v>
      </c>
      <c r="F19" s="23" t="s">
        <v>10</v>
      </c>
      <c r="G19" s="219">
        <f>G17*G18</f>
        <v>54</v>
      </c>
      <c r="H19" s="211">
        <f t="shared" si="0"/>
        <v>0</v>
      </c>
    </row>
    <row r="20" spans="1:8" ht="15" customHeight="1" x14ac:dyDescent="0.25">
      <c r="A20" s="169"/>
      <c r="B20" s="518"/>
      <c r="C20" s="270" t="s">
        <v>13</v>
      </c>
      <c r="D20" s="272" t="s">
        <v>14</v>
      </c>
      <c r="E20" s="273">
        <f>25.4/8</f>
        <v>3.1749999999999998</v>
      </c>
      <c r="F20" s="274" t="s">
        <v>15</v>
      </c>
      <c r="G20" s="127">
        <f>25.4/8</f>
        <v>3.1749999999999998</v>
      </c>
      <c r="H20" s="211">
        <f t="shared" si="0"/>
        <v>0</v>
      </c>
    </row>
    <row r="21" spans="1:8" ht="15" customHeight="1" x14ac:dyDescent="0.25">
      <c r="A21" s="169"/>
      <c r="B21" s="518"/>
      <c r="C21" s="121" t="s">
        <v>16</v>
      </c>
      <c r="D21" s="122"/>
      <c r="E21" s="126">
        <f>0.25*3.14*E20^2</f>
        <v>7.9132906250000001</v>
      </c>
      <c r="F21" s="124" t="s">
        <v>17</v>
      </c>
      <c r="G21" s="216">
        <f>0.25*3.14*G20^2</f>
        <v>7.9132906250000001</v>
      </c>
      <c r="H21" s="211">
        <f t="shared" ref="H21:H25" si="1">G21-E21</f>
        <v>0</v>
      </c>
    </row>
    <row r="22" spans="1:8" ht="15" customHeight="1" x14ac:dyDescent="0.25">
      <c r="A22" s="169"/>
      <c r="B22" s="518"/>
      <c r="C22" s="17" t="s">
        <v>18</v>
      </c>
      <c r="D22" s="18" t="s">
        <v>19</v>
      </c>
      <c r="E22" s="19">
        <v>0.57999999999999996</v>
      </c>
      <c r="F22" s="20"/>
      <c r="G22" s="127">
        <v>0.57999999999999996</v>
      </c>
      <c r="H22" s="211">
        <f t="shared" si="1"/>
        <v>0</v>
      </c>
    </row>
    <row r="23" spans="1:8" ht="15" customHeight="1" x14ac:dyDescent="0.25">
      <c r="A23" s="169"/>
      <c r="B23" s="518"/>
      <c r="C23" s="121" t="s">
        <v>20</v>
      </c>
      <c r="D23" s="122"/>
      <c r="E23" s="123">
        <f>E22*1000*E15*E21/1000000</f>
        <v>5.0486794187500003E-2</v>
      </c>
      <c r="F23" s="124" t="s">
        <v>21</v>
      </c>
      <c r="G23" s="123">
        <f>G22*1000*G15*G21/1000000</f>
        <v>5.0486794187500003E-2</v>
      </c>
      <c r="H23" s="211">
        <f t="shared" si="1"/>
        <v>0</v>
      </c>
    </row>
    <row r="24" spans="1:8" ht="15" customHeight="1" x14ac:dyDescent="0.25">
      <c r="A24" s="169"/>
      <c r="B24" s="518"/>
      <c r="C24" s="165" t="s">
        <v>22</v>
      </c>
      <c r="D24" s="166" t="s">
        <v>23</v>
      </c>
      <c r="E24" s="167">
        <f>E23*E19</f>
        <v>2.726286886125</v>
      </c>
      <c r="F24" s="168" t="s">
        <v>21</v>
      </c>
      <c r="G24" s="123">
        <f>G23*G19</f>
        <v>2.726286886125</v>
      </c>
      <c r="H24" s="211">
        <f t="shared" si="1"/>
        <v>0</v>
      </c>
    </row>
    <row r="25" spans="1:8" ht="15" customHeight="1" x14ac:dyDescent="0.25">
      <c r="A25" s="169"/>
      <c r="B25" s="518"/>
      <c r="C25" s="64" t="s">
        <v>27</v>
      </c>
      <c r="D25" s="65" t="s">
        <v>90</v>
      </c>
      <c r="E25" s="67">
        <f>E48*E19</f>
        <v>0.16510866309689981</v>
      </c>
      <c r="F25" s="23" t="s">
        <v>29</v>
      </c>
      <c r="G25" s="123">
        <f>G48*G19</f>
        <v>0.16510866309689981</v>
      </c>
      <c r="H25" s="211">
        <f t="shared" si="1"/>
        <v>0</v>
      </c>
    </row>
    <row r="26" spans="1:8" ht="15" customHeight="1" x14ac:dyDescent="0.25">
      <c r="A26" s="169"/>
      <c r="B26" s="171"/>
      <c r="C26" s="66" t="s">
        <v>30</v>
      </c>
      <c r="D26" s="12"/>
      <c r="E26" s="26"/>
      <c r="F26" s="8"/>
      <c r="G26" s="26"/>
    </row>
    <row r="27" spans="1:8" ht="15" customHeight="1" x14ac:dyDescent="0.25">
      <c r="A27" s="169"/>
      <c r="B27" s="518"/>
      <c r="C27" s="9" t="s">
        <v>31</v>
      </c>
      <c r="D27" s="10"/>
      <c r="E27" s="21">
        <v>1000</v>
      </c>
      <c r="F27" s="4" t="s">
        <v>32</v>
      </c>
      <c r="G27" s="220">
        <v>1000</v>
      </c>
      <c r="H27" s="211">
        <f t="shared" ref="H27:H59" si="2">G27-E27</f>
        <v>0</v>
      </c>
    </row>
    <row r="28" spans="1:8" ht="15" customHeight="1" x14ac:dyDescent="0.25">
      <c r="A28" s="169"/>
      <c r="B28" s="518"/>
      <c r="C28" s="9" t="s">
        <v>33</v>
      </c>
      <c r="D28" s="10" t="s">
        <v>34</v>
      </c>
      <c r="E28" s="21">
        <v>25</v>
      </c>
      <c r="F28" s="4" t="s">
        <v>35</v>
      </c>
      <c r="G28" s="220">
        <v>25</v>
      </c>
      <c r="H28" s="211">
        <f t="shared" si="2"/>
        <v>0</v>
      </c>
    </row>
    <row r="29" spans="1:8" ht="15" customHeight="1" x14ac:dyDescent="0.25">
      <c r="A29" s="169"/>
      <c r="B29" s="518"/>
      <c r="C29" s="114" t="s">
        <v>36</v>
      </c>
      <c r="D29" s="79" t="s">
        <v>37</v>
      </c>
      <c r="E29" s="80">
        <v>101.33</v>
      </c>
      <c r="F29" s="81" t="s">
        <v>38</v>
      </c>
      <c r="G29" s="125">
        <v>101.33</v>
      </c>
      <c r="H29" s="211">
        <f t="shared" si="2"/>
        <v>0</v>
      </c>
    </row>
    <row r="30" spans="1:8" ht="15" customHeight="1" x14ac:dyDescent="0.25">
      <c r="A30" s="169"/>
      <c r="B30" s="518"/>
      <c r="C30" s="121" t="s">
        <v>39</v>
      </c>
      <c r="D30" s="122"/>
      <c r="E30" s="123">
        <f>-9.81*28.97*E27/(8314*(273.15+E28))</f>
        <v>-0.11464963296434179</v>
      </c>
      <c r="F30" s="124"/>
      <c r="G30" s="123">
        <f>-9.81*28.97*G27/(8314*(273.15+G28))</f>
        <v>-0.11464963296434179</v>
      </c>
      <c r="H30" s="211">
        <f t="shared" si="2"/>
        <v>0</v>
      </c>
    </row>
    <row r="31" spans="1:8" ht="15" customHeight="1" x14ac:dyDescent="0.25">
      <c r="A31" s="169"/>
      <c r="B31" s="518"/>
      <c r="C31" s="121" t="s">
        <v>40</v>
      </c>
      <c r="D31" s="122" t="s">
        <v>236</v>
      </c>
      <c r="E31" s="123">
        <f>E29*EXP(E30)</f>
        <v>90.353782803986036</v>
      </c>
      <c r="F31" s="124" t="s">
        <v>38</v>
      </c>
      <c r="G31" s="123">
        <f>G29*EXP(G30)</f>
        <v>90.353782803986036</v>
      </c>
      <c r="H31" s="211">
        <f t="shared" si="2"/>
        <v>0</v>
      </c>
    </row>
    <row r="32" spans="1:8" ht="15" customHeight="1" x14ac:dyDescent="0.25">
      <c r="A32" s="169"/>
      <c r="B32" s="518"/>
      <c r="C32" s="101" t="s">
        <v>130</v>
      </c>
      <c r="D32" s="325"/>
      <c r="E32" s="127">
        <v>0</v>
      </c>
      <c r="F32" s="124" t="s">
        <v>132</v>
      </c>
      <c r="G32" s="127">
        <v>0</v>
      </c>
      <c r="H32" s="211">
        <f t="shared" si="2"/>
        <v>0</v>
      </c>
    </row>
    <row r="33" spans="1:8" ht="15" customHeight="1" x14ac:dyDescent="0.35">
      <c r="A33" s="169"/>
      <c r="B33" s="518" t="s">
        <v>265</v>
      </c>
      <c r="C33" s="114" t="s">
        <v>241</v>
      </c>
      <c r="D33" s="79" t="s">
        <v>242</v>
      </c>
      <c r="E33" s="80">
        <f>VLOOKUP(ROUND(E28,0),'Agua-T(°C)'!B6:G46,6)</f>
        <v>8.24</v>
      </c>
      <c r="F33" s="81" t="s">
        <v>41</v>
      </c>
      <c r="G33" s="203">
        <f>VLOOKUP(ROUND(G28,0),'Agua-T(°C)'!B6:G46,6)</f>
        <v>8.24</v>
      </c>
      <c r="H33" s="212">
        <f t="shared" si="2"/>
        <v>0</v>
      </c>
    </row>
    <row r="34" spans="1:8" ht="15" customHeight="1" x14ac:dyDescent="0.35">
      <c r="A34" s="169"/>
      <c r="B34" s="518"/>
      <c r="C34" s="235" t="s">
        <v>237</v>
      </c>
      <c r="D34" s="210" t="s">
        <v>243</v>
      </c>
      <c r="E34" s="236">
        <f>E33*EXP(E30)</f>
        <v>7.3474308724449315</v>
      </c>
      <c r="F34" s="237" t="s">
        <v>41</v>
      </c>
      <c r="G34" s="203">
        <f>G33*EXP(G30)</f>
        <v>7.3474308724449315</v>
      </c>
      <c r="H34" s="212">
        <f t="shared" si="2"/>
        <v>0</v>
      </c>
    </row>
    <row r="35" spans="1:8" ht="15" customHeight="1" x14ac:dyDescent="0.25">
      <c r="A35" s="169"/>
      <c r="B35" s="520" t="s">
        <v>351</v>
      </c>
      <c r="C35" s="238" t="s">
        <v>171</v>
      </c>
      <c r="D35" s="239" t="s">
        <v>116</v>
      </c>
      <c r="E35" s="240">
        <f>2.52*(E15*E20/1000)^0.66</f>
        <v>0.27534080293029323</v>
      </c>
      <c r="F35" s="241" t="s">
        <v>26</v>
      </c>
      <c r="G35" s="264">
        <f>2.52*(G15*G20/1000)^0.66</f>
        <v>0.27534080293029323</v>
      </c>
      <c r="H35" s="212">
        <f>G35-E35</f>
        <v>0</v>
      </c>
    </row>
    <row r="36" spans="1:8" ht="15" customHeight="1" x14ac:dyDescent="0.25">
      <c r="A36" s="169"/>
      <c r="B36" s="518" t="s">
        <v>424</v>
      </c>
      <c r="C36" s="17" t="s">
        <v>425</v>
      </c>
      <c r="D36" s="18" t="s">
        <v>426</v>
      </c>
      <c r="E36" s="590">
        <v>0.2</v>
      </c>
      <c r="F36" s="20"/>
      <c r="G36" s="591">
        <v>0.2</v>
      </c>
      <c r="H36" s="211">
        <f>G36-E37</f>
        <v>9.4798675907947771E-5</v>
      </c>
    </row>
    <row r="37" spans="1:8" ht="15" customHeight="1" x14ac:dyDescent="0.25">
      <c r="A37" s="169"/>
      <c r="B37" s="592" t="s">
        <v>427</v>
      </c>
      <c r="C37" s="525" t="s">
        <v>428</v>
      </c>
      <c r="E37" s="589">
        <f>E38/E39</f>
        <v>0.19990520132409206</v>
      </c>
      <c r="F37" s="278"/>
      <c r="G37" s="589">
        <f>G38/G39</f>
        <v>0.19990520132409206</v>
      </c>
      <c r="H37" s="211">
        <f t="shared" ref="H37:H38" si="3">G37-E37</f>
        <v>0</v>
      </c>
    </row>
    <row r="38" spans="1:8" ht="15" customHeight="1" x14ac:dyDescent="0.25">
      <c r="A38" s="169"/>
      <c r="B38" s="593" t="s">
        <v>429</v>
      </c>
      <c r="C38" s="165" t="s">
        <v>430</v>
      </c>
      <c r="D38" s="166" t="s">
        <v>274</v>
      </c>
      <c r="E38" s="167">
        <v>6.8794421278088019E-2</v>
      </c>
      <c r="F38" s="594" t="s">
        <v>26</v>
      </c>
      <c r="G38" s="595">
        <v>6.8794421278088019E-2</v>
      </c>
      <c r="H38" s="211">
        <f t="shared" si="3"/>
        <v>0</v>
      </c>
    </row>
    <row r="39" spans="1:8" ht="15" customHeight="1" x14ac:dyDescent="0.25">
      <c r="A39" s="169"/>
      <c r="B39" s="518" t="s">
        <v>354</v>
      </c>
      <c r="C39" s="309" t="s">
        <v>239</v>
      </c>
      <c r="D39" s="242" t="s">
        <v>355</v>
      </c>
      <c r="E39" s="243">
        <f>E35+E38</f>
        <v>0.34413522420838127</v>
      </c>
      <c r="F39" s="244" t="s">
        <v>26</v>
      </c>
      <c r="G39" s="203">
        <f>G35+G38</f>
        <v>0.34413522420838127</v>
      </c>
      <c r="H39" s="212">
        <f t="shared" si="2"/>
        <v>0</v>
      </c>
    </row>
    <row r="40" spans="1:8" ht="15" customHeight="1" x14ac:dyDescent="0.25">
      <c r="A40" s="169"/>
      <c r="B40" s="518"/>
      <c r="C40" s="245"/>
      <c r="D40" s="246"/>
      <c r="E40" s="247">
        <f>E39*9.8</f>
        <v>3.3725251972421368</v>
      </c>
      <c r="F40" s="248" t="s">
        <v>38</v>
      </c>
      <c r="G40" s="407">
        <f>G39*9.8</f>
        <v>3.3725251972421368</v>
      </c>
      <c r="H40" s="212">
        <f t="shared" si="2"/>
        <v>0</v>
      </c>
    </row>
    <row r="41" spans="1:8" ht="15" customHeight="1" x14ac:dyDescent="0.25">
      <c r="A41" s="169"/>
      <c r="B41" s="512" t="s">
        <v>431</v>
      </c>
      <c r="C41" s="596" t="s">
        <v>432</v>
      </c>
      <c r="D41" s="252" t="s">
        <v>433</v>
      </c>
      <c r="E41" s="129">
        <f>E15/(9.8*0.001*E20)^0.5</f>
        <v>62.360240653271397</v>
      </c>
      <c r="F41" s="278"/>
      <c r="G41" s="129">
        <f>G15/(9.8*0.001*G20)^0.5</f>
        <v>62.360240653271397</v>
      </c>
      <c r="H41" s="211">
        <f t="shared" si="2"/>
        <v>0</v>
      </c>
    </row>
    <row r="42" spans="1:8" ht="15" customHeight="1" x14ac:dyDescent="0.25">
      <c r="A42" s="169"/>
      <c r="B42" s="512" t="s">
        <v>434</v>
      </c>
      <c r="C42" s="525" t="s">
        <v>435</v>
      </c>
      <c r="D42" s="252" t="s">
        <v>436</v>
      </c>
      <c r="E42" s="264">
        <f>0.04*E41^0.28*(E49/(0.001*E20))^0.4</f>
        <v>0.59480304368661763</v>
      </c>
      <c r="F42" s="278"/>
      <c r="G42" s="264">
        <f>0.04*G41^0.28*(G49/(0.001*G20))^0.4</f>
        <v>0.59480304368661763</v>
      </c>
      <c r="H42" s="211">
        <f t="shared" si="2"/>
        <v>0</v>
      </c>
    </row>
    <row r="43" spans="1:8" ht="15" customHeight="1" x14ac:dyDescent="0.25">
      <c r="A43" s="169"/>
      <c r="B43" s="512"/>
      <c r="C43" s="597" t="s">
        <v>437</v>
      </c>
      <c r="D43" s="598"/>
      <c r="E43" s="599">
        <f>3.6*E42*E24</f>
        <v>5.8377734561882209</v>
      </c>
      <c r="F43" s="600" t="s">
        <v>61</v>
      </c>
      <c r="G43" s="203">
        <f>3.6*G42*G24</f>
        <v>5.8377734561882209</v>
      </c>
      <c r="H43" s="211">
        <f t="shared" si="2"/>
        <v>0</v>
      </c>
    </row>
    <row r="44" spans="1:8" ht="15" customHeight="1" x14ac:dyDescent="0.25">
      <c r="A44" s="169"/>
      <c r="B44" s="512"/>
      <c r="C44" s="597" t="s">
        <v>440</v>
      </c>
      <c r="D44" s="598"/>
      <c r="E44" s="599">
        <f>2*1.5</f>
        <v>3</v>
      </c>
      <c r="F44" s="600" t="s">
        <v>72</v>
      </c>
      <c r="G44" s="203">
        <v>3</v>
      </c>
      <c r="H44" s="211">
        <f t="shared" si="2"/>
        <v>0</v>
      </c>
    </row>
    <row r="45" spans="1:8" ht="15" customHeight="1" x14ac:dyDescent="0.25">
      <c r="A45" s="169"/>
      <c r="B45" s="518" t="s">
        <v>424</v>
      </c>
      <c r="C45" s="73" t="s">
        <v>438</v>
      </c>
      <c r="D45" s="601" t="str">
        <f>IF(E45&gt;0.24,"Cumple","No cumple")</f>
        <v>Cumple</v>
      </c>
      <c r="E45" s="82">
        <f>E43/E44</f>
        <v>1.9459244853960735</v>
      </c>
      <c r="F45" s="74" t="s">
        <v>439</v>
      </c>
      <c r="G45" s="203">
        <f>G43/G44</f>
        <v>1.9459244853960735</v>
      </c>
      <c r="H45" s="211">
        <f t="shared" si="2"/>
        <v>0</v>
      </c>
    </row>
    <row r="46" spans="1:8" ht="15" customHeight="1" x14ac:dyDescent="0.25">
      <c r="A46" s="169"/>
      <c r="B46" s="520" t="s">
        <v>277</v>
      </c>
      <c r="C46" s="322" t="s">
        <v>238</v>
      </c>
      <c r="D46" s="323" t="s">
        <v>42</v>
      </c>
      <c r="E46" s="249">
        <f>E34*(E31+E40/2)/E31</f>
        <v>7.4845551575790239</v>
      </c>
      <c r="F46" s="324" t="s">
        <v>41</v>
      </c>
      <c r="G46" s="264">
        <f>G34*(G31+G40/2)/G31</f>
        <v>7.4845551575790239</v>
      </c>
      <c r="H46" s="212">
        <f t="shared" si="2"/>
        <v>0</v>
      </c>
    </row>
    <row r="47" spans="1:8" ht="15" customHeight="1" x14ac:dyDescent="0.25">
      <c r="A47" s="169"/>
      <c r="B47" s="518" t="s">
        <v>265</v>
      </c>
      <c r="C47" s="251" t="s">
        <v>43</v>
      </c>
      <c r="D47" s="252" t="s">
        <v>240</v>
      </c>
      <c r="E47" s="129">
        <f>'Agua-T(°C)'!G26</f>
        <v>9.08</v>
      </c>
      <c r="F47" s="253" t="s">
        <v>41</v>
      </c>
      <c r="G47" s="126">
        <f>'Agua-T(°C)'!G26</f>
        <v>9.08</v>
      </c>
      <c r="H47" s="211">
        <f t="shared" si="2"/>
        <v>0</v>
      </c>
    </row>
    <row r="48" spans="1:8" ht="15" customHeight="1" x14ac:dyDescent="0.25">
      <c r="A48" s="169"/>
      <c r="B48" s="520" t="s">
        <v>279</v>
      </c>
      <c r="C48" s="254" t="s">
        <v>44</v>
      </c>
      <c r="D48" s="255" t="s">
        <v>28</v>
      </c>
      <c r="E48" s="256">
        <f>9.81*0.001*E23*E16</f>
        <v>3.0575678351277744E-3</v>
      </c>
      <c r="F48" s="250" t="s">
        <v>29</v>
      </c>
      <c r="G48" s="408">
        <f>9.81*0.001*G23*G16</f>
        <v>3.0575678351277744E-3</v>
      </c>
      <c r="H48" s="211">
        <f t="shared" si="2"/>
        <v>0</v>
      </c>
    </row>
    <row r="49" spans="1:8" ht="15" customHeight="1" x14ac:dyDescent="0.25">
      <c r="A49" s="169"/>
      <c r="B49" s="518" t="s">
        <v>275</v>
      </c>
      <c r="C49" s="326" t="s">
        <v>45</v>
      </c>
      <c r="D49" s="327" t="s">
        <v>382</v>
      </c>
      <c r="E49" s="328">
        <v>0.15</v>
      </c>
      <c r="F49" s="329" t="s">
        <v>26</v>
      </c>
      <c r="G49" s="127">
        <v>0.15</v>
      </c>
      <c r="H49" s="211">
        <f t="shared" si="2"/>
        <v>0</v>
      </c>
    </row>
    <row r="50" spans="1:8" ht="15" customHeight="1" x14ac:dyDescent="0.35">
      <c r="A50" s="169"/>
      <c r="B50" s="518" t="s">
        <v>278</v>
      </c>
      <c r="C50" s="202" t="s">
        <v>46</v>
      </c>
      <c r="D50" s="277" t="s">
        <v>47</v>
      </c>
      <c r="E50" s="203">
        <f>1.89*(E48^-0.29)*((0.001*E20)^0.2)*(E49^0.2)</f>
        <v>2.1941672706308539</v>
      </c>
      <c r="F50" s="278" t="s">
        <v>125</v>
      </c>
      <c r="G50" s="203">
        <f>1.89*(G48^-0.29)*((0.001*G20)^0.2)*(G49^0.2)</f>
        <v>2.1941672706308539</v>
      </c>
      <c r="H50" s="211">
        <f t="shared" si="2"/>
        <v>0</v>
      </c>
    </row>
    <row r="51" spans="1:8" ht="15" customHeight="1" x14ac:dyDescent="0.25">
      <c r="A51" s="169"/>
      <c r="B51" s="518" t="s">
        <v>276</v>
      </c>
      <c r="C51" s="530" t="s">
        <v>170</v>
      </c>
      <c r="D51" s="531" t="s">
        <v>179</v>
      </c>
      <c r="E51" s="532">
        <v>2</v>
      </c>
      <c r="F51" s="533"/>
      <c r="G51" s="409">
        <v>2</v>
      </c>
      <c r="H51" s="211">
        <f t="shared" si="2"/>
        <v>0</v>
      </c>
    </row>
    <row r="52" spans="1:8" ht="30" customHeight="1" x14ac:dyDescent="0.25">
      <c r="A52" s="169"/>
      <c r="B52" s="518"/>
      <c r="C52" s="117" t="s">
        <v>178</v>
      </c>
      <c r="D52" s="115" t="s">
        <v>47</v>
      </c>
      <c r="E52" s="119">
        <f>E50*E51</f>
        <v>4.3883345412617079</v>
      </c>
      <c r="F52" s="118" t="s">
        <v>125</v>
      </c>
      <c r="G52" s="129">
        <f>G50*G51</f>
        <v>4.3883345412617079</v>
      </c>
      <c r="H52" s="265">
        <f t="shared" si="2"/>
        <v>0</v>
      </c>
    </row>
    <row r="53" spans="1:8" ht="33" customHeight="1" x14ac:dyDescent="0.25">
      <c r="A53" s="169"/>
      <c r="B53" s="520" t="s">
        <v>273</v>
      </c>
      <c r="C53" s="117" t="s">
        <v>177</v>
      </c>
      <c r="D53" s="115" t="s">
        <v>123</v>
      </c>
      <c r="E53" s="120">
        <f>E52*E48</f>
        <v>1.3417630543141995E-2</v>
      </c>
      <c r="F53" s="118" t="s">
        <v>48</v>
      </c>
      <c r="G53" s="410">
        <f>G52*G48</f>
        <v>1.3417630543141995E-2</v>
      </c>
      <c r="H53" s="265">
        <f t="shared" si="2"/>
        <v>0</v>
      </c>
    </row>
    <row r="54" spans="1:8" ht="15" customHeight="1" x14ac:dyDescent="0.25">
      <c r="A54" s="169"/>
      <c r="B54" s="520" t="s">
        <v>280</v>
      </c>
      <c r="C54" s="257" t="s">
        <v>50</v>
      </c>
      <c r="D54" s="258" t="s">
        <v>51</v>
      </c>
      <c r="E54" s="260">
        <v>0.95</v>
      </c>
      <c r="F54" s="259"/>
      <c r="G54" s="125">
        <v>0.95</v>
      </c>
      <c r="H54" s="211">
        <f t="shared" si="2"/>
        <v>0</v>
      </c>
    </row>
    <row r="55" spans="1:8" ht="15" customHeight="1" x14ac:dyDescent="0.25">
      <c r="A55" s="169"/>
      <c r="B55" s="520" t="s">
        <v>352</v>
      </c>
      <c r="C55" s="257" t="s">
        <v>52</v>
      </c>
      <c r="D55" s="261" t="s">
        <v>53</v>
      </c>
      <c r="E55" s="262">
        <v>0.95</v>
      </c>
      <c r="F55" s="263"/>
      <c r="G55" s="126">
        <v>0.95</v>
      </c>
      <c r="H55" s="211">
        <f t="shared" si="2"/>
        <v>0</v>
      </c>
    </row>
    <row r="56" spans="1:8" ht="15" customHeight="1" x14ac:dyDescent="0.25">
      <c r="A56" s="169"/>
      <c r="B56" s="520" t="s">
        <v>271</v>
      </c>
      <c r="C56" s="202" t="s">
        <v>54</v>
      </c>
      <c r="D56" s="200" t="s">
        <v>55</v>
      </c>
      <c r="E56" s="264">
        <f>E55*(E54*E46-E14)*(1.024^(E28-20))/E47</f>
        <v>0.36639002897508299</v>
      </c>
      <c r="F56" s="204"/>
      <c r="G56" s="123">
        <f>G55*(G54*G46-G14)*(1.024^(G28-20))/G47</f>
        <v>0.36639002897508299</v>
      </c>
      <c r="H56" s="211">
        <f t="shared" si="2"/>
        <v>0</v>
      </c>
    </row>
    <row r="57" spans="1:8" ht="15" customHeight="1" x14ac:dyDescent="0.25">
      <c r="A57" s="169"/>
      <c r="B57" s="520" t="s">
        <v>272</v>
      </c>
      <c r="C57" s="73" t="s">
        <v>235</v>
      </c>
      <c r="D57" s="116" t="s">
        <v>56</v>
      </c>
      <c r="E57" s="82">
        <f>E19*E53*E56</f>
        <v>0.26546864634785272</v>
      </c>
      <c r="F57" s="74" t="s">
        <v>57</v>
      </c>
      <c r="G57" s="203">
        <f>G19*G53*G56</f>
        <v>0.26546864634785272</v>
      </c>
      <c r="H57" s="211">
        <f t="shared" si="2"/>
        <v>0</v>
      </c>
    </row>
    <row r="58" spans="1:8" ht="15" customHeight="1" x14ac:dyDescent="0.25">
      <c r="A58" s="169"/>
      <c r="B58" s="511"/>
      <c r="C58" s="9" t="s">
        <v>293</v>
      </c>
      <c r="D58" s="10"/>
      <c r="E58" s="21">
        <v>6</v>
      </c>
      <c r="F58" s="4" t="s">
        <v>10</v>
      </c>
      <c r="G58" s="220">
        <v>6</v>
      </c>
      <c r="H58" s="211">
        <f t="shared" si="2"/>
        <v>0</v>
      </c>
    </row>
    <row r="59" spans="1:8" ht="15" customHeight="1" x14ac:dyDescent="0.25">
      <c r="A59" s="169"/>
      <c r="B59" s="511"/>
      <c r="C59" s="73" t="s">
        <v>294</v>
      </c>
      <c r="D59" s="116" t="s">
        <v>56</v>
      </c>
      <c r="E59" s="82">
        <f>E57*E58</f>
        <v>1.5928118780871163</v>
      </c>
      <c r="F59" s="74" t="s">
        <v>57</v>
      </c>
      <c r="G59" s="203">
        <f>G57*G58</f>
        <v>1.5928118780871163</v>
      </c>
      <c r="H59" s="211">
        <f t="shared" si="2"/>
        <v>0</v>
      </c>
    </row>
    <row r="60" spans="1:8" x14ac:dyDescent="0.25">
      <c r="A60" s="169"/>
      <c r="B60" s="511"/>
      <c r="C60" s="75" t="s">
        <v>118</v>
      </c>
      <c r="D60" s="33"/>
      <c r="E60" s="154"/>
      <c r="F60" s="155"/>
      <c r="G60" s="217"/>
      <c r="H60" s="217"/>
    </row>
    <row r="61" spans="1:8" ht="15.75" customHeight="1" x14ac:dyDescent="0.25">
      <c r="A61" s="169"/>
      <c r="B61" s="520"/>
      <c r="C61" s="608" t="s">
        <v>67</v>
      </c>
      <c r="D61" s="156" t="s">
        <v>61</v>
      </c>
      <c r="E61" s="157" t="s">
        <v>68</v>
      </c>
      <c r="F61" s="157" t="s">
        <v>21</v>
      </c>
      <c r="G61" s="211" t="s">
        <v>21</v>
      </c>
      <c r="H61" s="211"/>
    </row>
    <row r="62" spans="1:8" ht="15" customHeight="1" x14ac:dyDescent="0.25">
      <c r="A62" s="169"/>
      <c r="B62" s="520"/>
      <c r="C62" s="609"/>
      <c r="D62" s="158">
        <f>F62*3.6</f>
        <v>58.887796740300011</v>
      </c>
      <c r="E62" s="159">
        <f>15.84*F62</f>
        <v>259.10630565732004</v>
      </c>
      <c r="F62" s="160">
        <f>E24*E58</f>
        <v>16.357721316750002</v>
      </c>
      <c r="G62" s="211">
        <f>G24*G58</f>
        <v>16.357721316750002</v>
      </c>
      <c r="H62" s="211">
        <f>F62-G62</f>
        <v>0</v>
      </c>
    </row>
    <row r="63" spans="1:8" x14ac:dyDescent="0.25">
      <c r="A63" s="169"/>
      <c r="B63" s="515" t="s">
        <v>267</v>
      </c>
      <c r="C63" s="275" t="s">
        <v>45</v>
      </c>
      <c r="D63" s="15"/>
      <c r="E63" s="45">
        <f>'Flotabilidad Biorreactor'!G19</f>
        <v>0.16</v>
      </c>
      <c r="F63" s="37" t="s">
        <v>26</v>
      </c>
      <c r="G63" s="215">
        <f>E63</f>
        <v>0.16</v>
      </c>
      <c r="H63" s="211">
        <f t="shared" ref="H63:H69" si="4">G63-E63</f>
        <v>0</v>
      </c>
    </row>
    <row r="64" spans="1:8" ht="15" customHeight="1" x14ac:dyDescent="0.25">
      <c r="A64" s="169"/>
      <c r="B64" s="511"/>
      <c r="C64" s="275" t="s">
        <v>87</v>
      </c>
      <c r="D64" s="15"/>
      <c r="E64" s="45">
        <f>'Parrilla de Aireación'!E16</f>
        <v>6.1734693877551017</v>
      </c>
      <c r="F64" s="37" t="s">
        <v>26</v>
      </c>
      <c r="G64" s="127">
        <f>'Parrilla de Aireación'!E16</f>
        <v>6.1734693877551017</v>
      </c>
      <c r="H64" s="211">
        <f t="shared" si="4"/>
        <v>0</v>
      </c>
    </row>
    <row r="65" spans="1:8" ht="15" customHeight="1" x14ac:dyDescent="0.25">
      <c r="A65" s="169"/>
      <c r="B65" s="520" t="s">
        <v>269</v>
      </c>
      <c r="C65" s="22" t="s">
        <v>192</v>
      </c>
      <c r="D65" s="15"/>
      <c r="E65" s="45">
        <f>Tuberías!E3</f>
        <v>1.2943576070167033</v>
      </c>
      <c r="F65" s="37" t="s">
        <v>26</v>
      </c>
      <c r="G65" s="45">
        <f>Tuberías!E3</f>
        <v>1.2943576070167033</v>
      </c>
      <c r="H65" s="211">
        <f t="shared" si="4"/>
        <v>0</v>
      </c>
    </row>
    <row r="66" spans="1:8" ht="15" customHeight="1" x14ac:dyDescent="0.25">
      <c r="A66" s="169"/>
      <c r="B66" s="520" t="s">
        <v>268</v>
      </c>
      <c r="C66" s="22" t="s">
        <v>193</v>
      </c>
      <c r="D66" s="15"/>
      <c r="E66" s="45">
        <f>'Manguera de Succion'!D3</f>
        <v>0.51608758290202961</v>
      </c>
      <c r="F66" s="37" t="s">
        <v>26</v>
      </c>
      <c r="G66" s="127">
        <f>'Manguera de Succion'!D3</f>
        <v>0.51608758290202961</v>
      </c>
      <c r="H66" s="211">
        <f t="shared" si="4"/>
        <v>0</v>
      </c>
    </row>
    <row r="67" spans="1:8" x14ac:dyDescent="0.25">
      <c r="A67" s="169"/>
      <c r="B67" s="520" t="s">
        <v>88</v>
      </c>
      <c r="C67" s="161" t="s">
        <v>69</v>
      </c>
      <c r="D67" s="162"/>
      <c r="E67" s="163">
        <f>SUM(E63:E66)</f>
        <v>8.1439145776738346</v>
      </c>
      <c r="F67" s="164" t="s">
        <v>26</v>
      </c>
      <c r="G67" s="213">
        <f>SUM(G63:G66)</f>
        <v>8.1439145776738346</v>
      </c>
      <c r="H67" s="211">
        <f t="shared" si="4"/>
        <v>0</v>
      </c>
    </row>
    <row r="68" spans="1:8" ht="15" customHeight="1" x14ac:dyDescent="0.25">
      <c r="A68" s="169"/>
      <c r="B68" s="520" t="s">
        <v>88</v>
      </c>
      <c r="C68" s="230" t="s">
        <v>115</v>
      </c>
      <c r="D68" s="231"/>
      <c r="E68" s="232">
        <v>0.8</v>
      </c>
      <c r="F68" s="233"/>
      <c r="G68" s="214">
        <f>E68</f>
        <v>0.8</v>
      </c>
      <c r="H68" s="211">
        <f t="shared" si="4"/>
        <v>0</v>
      </c>
    </row>
    <row r="69" spans="1:8" ht="15" customHeight="1" x14ac:dyDescent="0.25">
      <c r="A69" s="169"/>
      <c r="B69" s="520"/>
      <c r="C69" s="339" t="s">
        <v>250</v>
      </c>
      <c r="D69" s="340"/>
      <c r="E69" s="341">
        <f>9.81*0.001*F62*E67/E68</f>
        <v>1.6335597909039405</v>
      </c>
      <c r="F69" s="342" t="s">
        <v>29</v>
      </c>
      <c r="G69" s="213">
        <f>9.81*0.001*F62*G67/G68</f>
        <v>1.6335597909039405</v>
      </c>
      <c r="H69" s="211">
        <f t="shared" si="4"/>
        <v>0</v>
      </c>
    </row>
    <row r="71" spans="1:8" ht="15.75" x14ac:dyDescent="0.25">
      <c r="C71" s="610"/>
      <c r="D71" s="611"/>
    </row>
    <row r="72" spans="1:8" ht="15" customHeight="1" x14ac:dyDescent="0.25">
      <c r="C72" s="612"/>
      <c r="D72" s="613"/>
      <c r="E72" s="606"/>
      <c r="F72" s="606"/>
    </row>
    <row r="73" spans="1:8" ht="15" customHeight="1" x14ac:dyDescent="0.25">
      <c r="C73" s="612"/>
      <c r="D73" s="613"/>
      <c r="E73" s="606"/>
      <c r="F73" s="606"/>
    </row>
    <row r="74" spans="1:8" ht="15" customHeight="1" x14ac:dyDescent="0.25">
      <c r="C74" s="612"/>
      <c r="D74" s="614"/>
      <c r="E74" s="614"/>
      <c r="F74" s="614"/>
    </row>
    <row r="75" spans="1:8" ht="15" customHeight="1" x14ac:dyDescent="0.25">
      <c r="C75" s="612"/>
      <c r="D75" s="613"/>
      <c r="E75" s="606"/>
      <c r="F75" s="606"/>
    </row>
    <row r="76" spans="1:8" ht="15" customHeight="1" x14ac:dyDescent="0.25">
      <c r="C76" s="612"/>
      <c r="D76" s="613"/>
      <c r="E76" s="606"/>
      <c r="F76" s="606"/>
    </row>
    <row r="77" spans="1:8" x14ac:dyDescent="0.25">
      <c r="C77" s="612"/>
      <c r="D77" s="606"/>
      <c r="E77" s="606"/>
      <c r="F77" s="606"/>
    </row>
    <row r="78" spans="1:8" ht="15" customHeight="1" x14ac:dyDescent="0.25">
      <c r="C78" s="612"/>
      <c r="D78" s="606"/>
      <c r="E78" s="606"/>
      <c r="F78" s="606"/>
    </row>
    <row r="79" spans="1:8" ht="15" customHeight="1" x14ac:dyDescent="0.25">
      <c r="C79" s="612"/>
      <c r="D79" s="606"/>
      <c r="E79" s="606"/>
      <c r="F79" s="606"/>
    </row>
    <row r="80" spans="1:8" ht="15" customHeight="1" x14ac:dyDescent="0.25">
      <c r="C80" s="612"/>
      <c r="D80" s="606"/>
      <c r="E80" s="606"/>
      <c r="F80" s="606"/>
    </row>
    <row r="81" spans="3:6" ht="15" customHeight="1" x14ac:dyDescent="0.25">
      <c r="C81" s="612"/>
      <c r="D81" s="606"/>
      <c r="E81" s="606"/>
      <c r="F81" s="606"/>
    </row>
    <row r="82" spans="3:6" ht="15" customHeight="1" x14ac:dyDescent="0.25">
      <c r="C82" s="612"/>
      <c r="D82" s="606"/>
      <c r="E82" s="606"/>
      <c r="F82" s="606"/>
    </row>
    <row r="83" spans="3:6" ht="15" customHeight="1" x14ac:dyDescent="0.25">
      <c r="C83" s="612"/>
      <c r="D83" s="606"/>
      <c r="E83" s="606"/>
      <c r="F83" s="606"/>
    </row>
    <row r="84" spans="3:6" ht="15" customHeight="1" x14ac:dyDescent="0.25">
      <c r="C84" s="612"/>
      <c r="D84" s="606"/>
      <c r="E84" s="606"/>
      <c r="F84" s="606"/>
    </row>
    <row r="85" spans="3:6" ht="15" customHeight="1" x14ac:dyDescent="0.25">
      <c r="C85" s="612"/>
      <c r="D85" s="614"/>
      <c r="E85" s="614"/>
      <c r="F85" s="614"/>
    </row>
    <row r="86" spans="3:6" x14ac:dyDescent="0.25">
      <c r="C86" s="602"/>
      <c r="D86" s="602"/>
      <c r="E86" s="602"/>
      <c r="F86" s="602"/>
    </row>
    <row r="87" spans="3:6" x14ac:dyDescent="0.25">
      <c r="C87" s="602"/>
      <c r="D87" s="605"/>
      <c r="E87" s="605"/>
      <c r="F87" s="605"/>
    </row>
    <row r="88" spans="3:6" x14ac:dyDescent="0.25">
      <c r="C88" s="602"/>
      <c r="D88" s="604"/>
      <c r="E88" s="603"/>
      <c r="F88" s="603"/>
    </row>
    <row r="89" spans="3:6" x14ac:dyDescent="0.25">
      <c r="C89" s="602"/>
      <c r="D89" s="604"/>
      <c r="E89" s="603"/>
      <c r="F89" s="603"/>
    </row>
    <row r="90" spans="3:6" x14ac:dyDescent="0.25">
      <c r="C90" s="602"/>
      <c r="D90" s="606"/>
      <c r="E90" s="606"/>
      <c r="F90" s="606"/>
    </row>
    <row r="91" spans="3:6" x14ac:dyDescent="0.25">
      <c r="C91" s="602"/>
      <c r="D91" s="603"/>
      <c r="E91" s="603"/>
      <c r="F91" s="603"/>
    </row>
    <row r="92" spans="3:6" x14ac:dyDescent="0.25">
      <c r="C92" s="602"/>
      <c r="D92" s="604"/>
      <c r="E92" s="603"/>
      <c r="F92" s="603"/>
    </row>
  </sheetData>
  <mergeCells count="24">
    <mergeCell ref="C85:F85"/>
    <mergeCell ref="C80:F80"/>
    <mergeCell ref="C81:F81"/>
    <mergeCell ref="C82:F82"/>
    <mergeCell ref="C83:F83"/>
    <mergeCell ref="C84:F84"/>
    <mergeCell ref="C74:F74"/>
    <mergeCell ref="C75:F75"/>
    <mergeCell ref="C76:F76"/>
    <mergeCell ref="C78:F78"/>
    <mergeCell ref="C79:F79"/>
    <mergeCell ref="C77:F77"/>
    <mergeCell ref="C12:F12"/>
    <mergeCell ref="C61:C62"/>
    <mergeCell ref="C71:D71"/>
    <mergeCell ref="C72:F72"/>
    <mergeCell ref="C73:F73"/>
    <mergeCell ref="C91:F91"/>
    <mergeCell ref="C92:F92"/>
    <mergeCell ref="C86:F86"/>
    <mergeCell ref="C87:F87"/>
    <mergeCell ref="C88:F88"/>
    <mergeCell ref="C89:F89"/>
    <mergeCell ref="C90:F90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214"/>
  <sheetViews>
    <sheetView showGridLines="0" tabSelected="1" topLeftCell="C11" zoomScale="77" zoomScaleNormal="77" workbookViewId="0">
      <selection activeCell="C57" sqref="C57:F84"/>
    </sheetView>
  </sheetViews>
  <sheetFormatPr baseColWidth="10" defaultColWidth="11.42578125" defaultRowHeight="15" x14ac:dyDescent="0.25"/>
  <cols>
    <col min="1" max="1" width="20.140625" customWidth="1"/>
    <col min="2" max="2" width="51" style="172" customWidth="1"/>
    <col min="3" max="3" width="55.28515625" style="1" customWidth="1"/>
    <col min="4" max="4" width="19.85546875" style="1" customWidth="1"/>
    <col min="5" max="5" width="10.42578125" style="2" customWidth="1"/>
    <col min="6" max="6" width="19.5703125" style="2" customWidth="1"/>
    <col min="7" max="7" width="13" style="421" customWidth="1"/>
    <col min="8" max="8" width="12.7109375" style="76" customWidth="1"/>
    <col min="9" max="9" width="15.42578125" style="29" customWidth="1"/>
    <col min="10" max="10" width="29.85546875" style="1" customWidth="1"/>
    <col min="11" max="11" width="26.5703125" style="1" customWidth="1"/>
    <col min="12" max="12" width="27.5703125" style="1" customWidth="1"/>
    <col min="13" max="13" width="24" style="1" customWidth="1"/>
    <col min="14" max="14" width="33.28515625" style="1" customWidth="1"/>
    <col min="15" max="15" width="16.7109375" style="1" customWidth="1"/>
    <col min="16" max="16" width="13.7109375" style="1" customWidth="1"/>
    <col min="17" max="17" width="13.85546875" style="1" customWidth="1"/>
    <col min="18" max="1023" width="11.42578125" style="1"/>
  </cols>
  <sheetData>
    <row r="1" spans="1:8" ht="15.75" x14ac:dyDescent="0.25">
      <c r="C1" s="234" t="s">
        <v>117</v>
      </c>
      <c r="D1" s="2"/>
      <c r="E1" s="1"/>
    </row>
    <row r="2" spans="1:8" x14ac:dyDescent="0.25">
      <c r="C2" s="508" t="s">
        <v>356</v>
      </c>
      <c r="D2" s="2"/>
      <c r="E2" s="1"/>
    </row>
    <row r="3" spans="1:8" x14ac:dyDescent="0.25">
      <c r="C3" s="497" t="s">
        <v>0</v>
      </c>
      <c r="D3" s="6"/>
      <c r="E3" s="1"/>
    </row>
    <row r="4" spans="1:8" x14ac:dyDescent="0.25">
      <c r="C4" s="498" t="s">
        <v>181</v>
      </c>
      <c r="D4" s="6"/>
      <c r="E4" s="1"/>
      <c r="F4" s="29"/>
    </row>
    <row r="5" spans="1:8" x14ac:dyDescent="0.25">
      <c r="C5" s="499" t="s">
        <v>246</v>
      </c>
      <c r="E5" s="1"/>
      <c r="F5" s="29"/>
    </row>
    <row r="6" spans="1:8" x14ac:dyDescent="0.25">
      <c r="C6" s="500" t="s">
        <v>357</v>
      </c>
      <c r="D6" s="102"/>
      <c r="E6" s="1"/>
      <c r="F6" s="29"/>
    </row>
    <row r="7" spans="1:8" x14ac:dyDescent="0.25">
      <c r="C7" s="501" t="s">
        <v>247</v>
      </c>
      <c r="D7" s="71"/>
      <c r="E7" s="1"/>
      <c r="F7" s="29"/>
    </row>
    <row r="8" spans="1:8" x14ac:dyDescent="0.25">
      <c r="C8" s="502" t="s">
        <v>1</v>
      </c>
      <c r="D8" s="6"/>
      <c r="E8" s="1"/>
      <c r="F8" s="29"/>
    </row>
    <row r="9" spans="1:8" x14ac:dyDescent="0.25">
      <c r="C9" s="503" t="s">
        <v>127</v>
      </c>
      <c r="D9" s="6"/>
      <c r="E9" s="6"/>
      <c r="F9" s="29"/>
    </row>
    <row r="10" spans="1:8" x14ac:dyDescent="0.25">
      <c r="C10" s="504" t="s">
        <v>248</v>
      </c>
      <c r="E10" s="1"/>
      <c r="F10" s="29"/>
    </row>
    <row r="11" spans="1:8" ht="33.75" customHeight="1" x14ac:dyDescent="0.25">
      <c r="A11" s="306" t="s">
        <v>383</v>
      </c>
      <c r="B11" s="422" t="s">
        <v>190</v>
      </c>
      <c r="C11" s="101"/>
      <c r="D11" s="94"/>
      <c r="E11" s="94"/>
      <c r="F11" s="304"/>
      <c r="G11" s="306" t="s">
        <v>191</v>
      </c>
      <c r="H11" s="414" t="s">
        <v>194</v>
      </c>
    </row>
    <row r="12" spans="1:8" ht="23.25" customHeight="1" x14ac:dyDescent="0.25">
      <c r="A12" s="523"/>
      <c r="B12" s="524"/>
      <c r="C12" s="615" t="s">
        <v>323</v>
      </c>
      <c r="D12" s="616"/>
      <c r="E12" s="616"/>
      <c r="F12" s="617"/>
      <c r="G12" s="523"/>
      <c r="H12" s="524"/>
    </row>
    <row r="13" spans="1:8" ht="15" customHeight="1" x14ac:dyDescent="0.25">
      <c r="A13" s="525"/>
      <c r="B13" s="526"/>
      <c r="C13" s="588" t="s">
        <v>423</v>
      </c>
      <c r="D13" s="412"/>
      <c r="E13" s="413"/>
      <c r="F13" s="413"/>
      <c r="G13" s="525"/>
      <c r="H13" s="526"/>
    </row>
    <row r="14" spans="1:8" ht="15" customHeight="1" x14ac:dyDescent="0.25">
      <c r="A14" s="525"/>
      <c r="B14" s="565"/>
      <c r="C14" s="9" t="s">
        <v>403</v>
      </c>
      <c r="D14" s="10"/>
      <c r="E14" s="11">
        <v>60</v>
      </c>
      <c r="F14" s="571" t="s">
        <v>78</v>
      </c>
      <c r="G14" s="574">
        <v>60</v>
      </c>
      <c r="H14" s="420">
        <f t="shared" ref="H14:H15" si="0">G14-E14</f>
        <v>0</v>
      </c>
    </row>
    <row r="15" spans="1:8" ht="15" customHeight="1" x14ac:dyDescent="0.25">
      <c r="A15" s="525"/>
      <c r="B15" s="509" t="s">
        <v>255</v>
      </c>
      <c r="C15" s="562" t="s">
        <v>404</v>
      </c>
      <c r="D15" s="563"/>
      <c r="E15" s="564">
        <v>5</v>
      </c>
      <c r="F15" s="572" t="s">
        <v>10</v>
      </c>
      <c r="G15" s="575">
        <v>5</v>
      </c>
      <c r="H15" s="212">
        <f t="shared" si="0"/>
        <v>0</v>
      </c>
    </row>
    <row r="16" spans="1:8" ht="15" customHeight="1" x14ac:dyDescent="0.25">
      <c r="A16" s="525"/>
      <c r="B16" s="565"/>
      <c r="C16" s="73" t="s">
        <v>408</v>
      </c>
      <c r="D16" s="116"/>
      <c r="E16" s="82">
        <f>E15*E51</f>
        <v>52.845880350702011</v>
      </c>
      <c r="F16" s="573" t="s">
        <v>78</v>
      </c>
      <c r="G16" s="577">
        <f>G15*G51</f>
        <v>52.845880350702011</v>
      </c>
      <c r="H16" s="420">
        <f>G16-E16</f>
        <v>0</v>
      </c>
    </row>
    <row r="17" spans="1:8" ht="15" customHeight="1" x14ac:dyDescent="0.25">
      <c r="A17" s="525"/>
      <c r="B17" s="565"/>
      <c r="C17" s="546" t="s">
        <v>405</v>
      </c>
      <c r="D17" s="547"/>
      <c r="E17" s="547">
        <f>E16/E14</f>
        <v>0.88076467251170021</v>
      </c>
      <c r="F17" s="548"/>
      <c r="G17" s="558">
        <f>G16/G14</f>
        <v>0.88076467251170021</v>
      </c>
      <c r="H17" s="420">
        <f>G17-E17</f>
        <v>0</v>
      </c>
    </row>
    <row r="18" spans="1:8" ht="15" customHeight="1" x14ac:dyDescent="0.25">
      <c r="A18" s="525"/>
      <c r="B18" s="153" t="s">
        <v>413</v>
      </c>
      <c r="C18" s="546" t="s">
        <v>412</v>
      </c>
      <c r="D18" s="547"/>
      <c r="E18" s="346">
        <f>20*25/10000</f>
        <v>0.05</v>
      </c>
      <c r="F18" s="548" t="s">
        <v>407</v>
      </c>
      <c r="G18" s="574">
        <f>20*25/10000</f>
        <v>0.05</v>
      </c>
      <c r="H18" s="420">
        <f>G18-E18</f>
        <v>0</v>
      </c>
    </row>
    <row r="19" spans="1:8" ht="15" customHeight="1" x14ac:dyDescent="0.25">
      <c r="A19" s="169"/>
      <c r="B19" s="509" t="s">
        <v>255</v>
      </c>
      <c r="C19" s="562" t="s">
        <v>358</v>
      </c>
      <c r="D19" s="583" t="str">
        <f>IF(E19&gt;E18," ","no cumple")</f>
        <v xml:space="preserve"> </v>
      </c>
      <c r="E19" s="566">
        <v>1</v>
      </c>
      <c r="F19" s="572" t="s">
        <v>407</v>
      </c>
      <c r="G19" s="576">
        <v>1</v>
      </c>
      <c r="H19" s="420">
        <f t="shared" ref="H19:H24" si="1">G19-E19</f>
        <v>0</v>
      </c>
    </row>
    <row r="20" spans="1:8" ht="15" customHeight="1" x14ac:dyDescent="0.25">
      <c r="A20" s="169"/>
      <c r="B20" s="131"/>
      <c r="C20" s="567" t="s">
        <v>406</v>
      </c>
      <c r="D20" s="568"/>
      <c r="E20" s="569">
        <f>E15*E19</f>
        <v>5</v>
      </c>
      <c r="F20" s="570" t="s">
        <v>407</v>
      </c>
      <c r="G20" s="126">
        <f>G15*G19</f>
        <v>5</v>
      </c>
      <c r="H20" s="420">
        <f t="shared" si="1"/>
        <v>0</v>
      </c>
    </row>
    <row r="21" spans="1:8" ht="15" customHeight="1" x14ac:dyDescent="0.25">
      <c r="A21" s="169"/>
      <c r="B21" s="131"/>
      <c r="C21" s="546" t="s">
        <v>414</v>
      </c>
      <c r="D21" s="547"/>
      <c r="E21" s="346">
        <f>1000*E14/(10000*E20)</f>
        <v>1.2</v>
      </c>
      <c r="F21" s="585" t="s">
        <v>415</v>
      </c>
      <c r="G21" s="218">
        <f>1000*G14/(10000*G20)</f>
        <v>1.2</v>
      </c>
      <c r="H21" s="420">
        <f t="shared" si="1"/>
        <v>0</v>
      </c>
    </row>
    <row r="22" spans="1:8" ht="15" customHeight="1" x14ac:dyDescent="0.25">
      <c r="A22" s="169"/>
      <c r="B22" s="131"/>
      <c r="C22" s="73" t="s">
        <v>312</v>
      </c>
      <c r="D22" s="116"/>
      <c r="E22" s="349">
        <f>E15*E61</f>
        <v>147.09757143542384</v>
      </c>
      <c r="F22" s="74" t="s">
        <v>325</v>
      </c>
      <c r="G22" s="387">
        <f>G15*G61</f>
        <v>147.09757143542384</v>
      </c>
      <c r="H22" s="420">
        <f t="shared" si="1"/>
        <v>0</v>
      </c>
    </row>
    <row r="23" spans="1:8" ht="15" customHeight="1" x14ac:dyDescent="0.25">
      <c r="A23" s="169"/>
      <c r="B23" s="131"/>
      <c r="C23" s="73" t="s">
        <v>409</v>
      </c>
      <c r="D23" s="116"/>
      <c r="E23" s="379">
        <f>E15*365*E65</f>
        <v>35774.959420796295</v>
      </c>
      <c r="F23" s="74" t="s">
        <v>410</v>
      </c>
      <c r="G23" s="584">
        <f>G15*365*G65</f>
        <v>35774.959420796295</v>
      </c>
      <c r="H23" s="212">
        <f t="shared" si="1"/>
        <v>0</v>
      </c>
    </row>
    <row r="24" spans="1:8" ht="15" customHeight="1" x14ac:dyDescent="0.25">
      <c r="A24" s="169"/>
      <c r="B24" s="131"/>
      <c r="C24" s="580" t="s">
        <v>411</v>
      </c>
      <c r="D24" s="578"/>
      <c r="E24" s="581">
        <f>E15*E83</f>
        <v>119.1686306866589</v>
      </c>
      <c r="F24" s="579" t="s">
        <v>281</v>
      </c>
      <c r="G24" s="219">
        <f>G15*G83</f>
        <v>119.1686306866589</v>
      </c>
      <c r="H24" s="420">
        <f t="shared" si="1"/>
        <v>0</v>
      </c>
    </row>
    <row r="25" spans="1:8" ht="15" customHeight="1" x14ac:dyDescent="0.25">
      <c r="A25" s="169"/>
      <c r="B25" s="131"/>
      <c r="C25" s="615" t="s">
        <v>402</v>
      </c>
      <c r="D25" s="616"/>
      <c r="E25" s="616"/>
      <c r="F25" s="617"/>
      <c r="H25" s="526"/>
    </row>
    <row r="26" spans="1:8" ht="15" customHeight="1" x14ac:dyDescent="0.25">
      <c r="A26" s="169"/>
      <c r="B26" s="131"/>
      <c r="C26" s="505" t="s">
        <v>285</v>
      </c>
      <c r="D26" s="22"/>
      <c r="E26" s="70"/>
      <c r="F26" s="506"/>
      <c r="G26" s="70"/>
      <c r="H26" s="411"/>
    </row>
    <row r="27" spans="1:8" ht="15" customHeight="1" x14ac:dyDescent="0.25">
      <c r="A27" s="169"/>
      <c r="B27" s="153" t="s">
        <v>286</v>
      </c>
      <c r="C27" s="336" t="s">
        <v>306</v>
      </c>
      <c r="D27" s="331" t="s">
        <v>300</v>
      </c>
      <c r="E27" s="338">
        <v>40</v>
      </c>
      <c r="F27" s="332" t="s">
        <v>287</v>
      </c>
      <c r="G27" s="424">
        <v>40</v>
      </c>
      <c r="H27" s="420">
        <f t="shared" ref="H27:H32" si="2">G27-E27</f>
        <v>0</v>
      </c>
    </row>
    <row r="28" spans="1:8" ht="15" customHeight="1" x14ac:dyDescent="0.25">
      <c r="A28" s="169"/>
      <c r="B28" s="153" t="s">
        <v>288</v>
      </c>
      <c r="C28" s="224" t="s">
        <v>289</v>
      </c>
      <c r="D28" s="333" t="s">
        <v>290</v>
      </c>
      <c r="E28" s="334" t="str">
        <f>IF(D28="Spirulina","61,4%","55,7%")</f>
        <v>55,7%</v>
      </c>
      <c r="F28" s="225"/>
      <c r="G28" s="425" t="str">
        <f>IF(F28="Spirulina","61,4%","55,7%")</f>
        <v>55,7%</v>
      </c>
      <c r="H28" s="420">
        <f t="shared" si="2"/>
        <v>0</v>
      </c>
    </row>
    <row r="29" spans="1:8" ht="15" customHeight="1" x14ac:dyDescent="0.25">
      <c r="A29" s="169"/>
      <c r="B29" s="521" t="s">
        <v>291</v>
      </c>
      <c r="C29" s="224" t="s">
        <v>292</v>
      </c>
      <c r="D29" s="333"/>
      <c r="E29" s="334">
        <v>0.16</v>
      </c>
      <c r="F29" s="225"/>
      <c r="G29" s="425">
        <v>0.16</v>
      </c>
      <c r="H29" s="420">
        <f t="shared" si="2"/>
        <v>0</v>
      </c>
    </row>
    <row r="30" spans="1:8" ht="15" customHeight="1" x14ac:dyDescent="0.25">
      <c r="A30" s="169"/>
      <c r="B30" s="177"/>
      <c r="C30" s="618" t="s">
        <v>330</v>
      </c>
      <c r="D30" s="395">
        <f>E30/E51</f>
        <v>0.92406212912450936</v>
      </c>
      <c r="E30" s="381">
        <f>E19*1000*E27*E28*E29/365</f>
        <v>9.7665753424657549</v>
      </c>
      <c r="F30" s="382" t="s">
        <v>322</v>
      </c>
      <c r="G30" s="522">
        <f>G19*1000*G27*G28*G29/365</f>
        <v>9.7665753424657549</v>
      </c>
      <c r="H30" s="420">
        <f t="shared" si="2"/>
        <v>0</v>
      </c>
    </row>
    <row r="31" spans="1:8" ht="15" customHeight="1" x14ac:dyDescent="0.25">
      <c r="A31" s="169"/>
      <c r="B31" s="177"/>
      <c r="C31" s="619"/>
      <c r="D31" s="383"/>
      <c r="E31" s="384">
        <f>1000*E30/10000</f>
        <v>0.97665753424657542</v>
      </c>
      <c r="F31" s="385" t="s">
        <v>304</v>
      </c>
      <c r="G31" s="426">
        <f>1000*G30/10000</f>
        <v>0.97665753424657542</v>
      </c>
      <c r="H31" s="420">
        <f t="shared" si="2"/>
        <v>0</v>
      </c>
    </row>
    <row r="32" spans="1:8" ht="15" customHeight="1" x14ac:dyDescent="0.25">
      <c r="A32" s="169"/>
      <c r="B32" s="521"/>
      <c r="C32" s="30" t="s">
        <v>331</v>
      </c>
      <c r="D32" s="376"/>
      <c r="E32" s="218">
        <f>1000*E27*E19/(365*24)</f>
        <v>4.5662100456621006</v>
      </c>
      <c r="F32" s="124" t="s">
        <v>318</v>
      </c>
      <c r="G32" s="535">
        <f>1000*G27*G19/(365*24)</f>
        <v>4.5662100456621006</v>
      </c>
      <c r="H32" s="420">
        <f t="shared" si="2"/>
        <v>0</v>
      </c>
    </row>
    <row r="33" spans="1:8" ht="15" customHeight="1" x14ac:dyDescent="0.25">
      <c r="A33" s="169"/>
      <c r="B33" s="511"/>
      <c r="C33" s="505" t="s">
        <v>398</v>
      </c>
      <c r="D33" s="22"/>
      <c r="E33" s="70"/>
      <c r="F33" s="506"/>
      <c r="G33" s="70"/>
      <c r="H33" s="411"/>
    </row>
    <row r="34" spans="1:8" ht="15" customHeight="1" x14ac:dyDescent="0.25">
      <c r="A34" s="169"/>
      <c r="B34" s="335"/>
      <c r="C34" s="348" t="s">
        <v>309</v>
      </c>
      <c r="D34" s="373"/>
      <c r="E34" s="374">
        <f>E49</f>
        <v>3.3441696986443656E-2</v>
      </c>
      <c r="F34" s="124" t="s">
        <v>310</v>
      </c>
      <c r="G34" s="374">
        <f>G49</f>
        <v>3.3441696986443656E-2</v>
      </c>
      <c r="H34" s="420">
        <f t="shared" ref="H34:H51" si="3">G34-E34</f>
        <v>0</v>
      </c>
    </row>
    <row r="35" spans="1:8" ht="15" customHeight="1" x14ac:dyDescent="0.25">
      <c r="A35" s="169"/>
      <c r="B35" s="513" t="s">
        <v>350</v>
      </c>
      <c r="C35" s="337" t="s">
        <v>305</v>
      </c>
      <c r="D35" s="93"/>
      <c r="E35" s="113">
        <v>4.71</v>
      </c>
      <c r="F35" s="78" t="s">
        <v>296</v>
      </c>
      <c r="G35" s="154">
        <v>4.71</v>
      </c>
      <c r="H35" s="420">
        <f t="shared" si="3"/>
        <v>0</v>
      </c>
    </row>
    <row r="36" spans="1:8" ht="15" customHeight="1" x14ac:dyDescent="0.25">
      <c r="A36" s="169"/>
      <c r="B36" s="335"/>
      <c r="C36" s="345" t="s">
        <v>308</v>
      </c>
      <c r="D36" s="386">
        <f>E36/E47</f>
        <v>9.8888258540180754E-2</v>
      </c>
      <c r="E36" s="346">
        <f>E49*E35</f>
        <v>0.15751039280614962</v>
      </c>
      <c r="F36" s="347" t="s">
        <v>57</v>
      </c>
      <c r="G36" s="218">
        <f>G49*G35</f>
        <v>0.15751039280614962</v>
      </c>
      <c r="H36" s="420">
        <f t="shared" si="3"/>
        <v>0</v>
      </c>
    </row>
    <row r="37" spans="1:8" ht="15" customHeight="1" x14ac:dyDescent="0.25">
      <c r="A37" s="169"/>
      <c r="B37" s="513" t="s">
        <v>295</v>
      </c>
      <c r="C37" s="337" t="s">
        <v>297</v>
      </c>
      <c r="D37" s="364"/>
      <c r="E37" s="113">
        <v>8.07</v>
      </c>
      <c r="F37" s="78" t="s">
        <v>298</v>
      </c>
      <c r="G37" s="154">
        <v>8.07</v>
      </c>
      <c r="H37" s="420">
        <f t="shared" si="3"/>
        <v>0</v>
      </c>
    </row>
    <row r="38" spans="1:8" ht="15" customHeight="1" x14ac:dyDescent="0.25">
      <c r="A38" s="169"/>
      <c r="B38" s="512"/>
      <c r="C38" s="348" t="s">
        <v>320</v>
      </c>
      <c r="D38" s="377"/>
      <c r="E38" s="127">
        <f>E37*E34</f>
        <v>0.26987449468060032</v>
      </c>
      <c r="F38" s="124" t="s">
        <v>318</v>
      </c>
      <c r="G38" s="127">
        <f>G37*G34</f>
        <v>0.26987449468060032</v>
      </c>
      <c r="H38" s="420">
        <f t="shared" si="3"/>
        <v>0</v>
      </c>
    </row>
    <row r="39" spans="1:8" ht="15" customHeight="1" x14ac:dyDescent="0.25">
      <c r="A39" s="169"/>
      <c r="B39" s="512"/>
      <c r="C39" s="63" t="s">
        <v>319</v>
      </c>
      <c r="D39" s="69"/>
      <c r="E39" s="346">
        <f>E32+E38</f>
        <v>4.8360845403427009</v>
      </c>
      <c r="F39" s="344" t="s">
        <v>318</v>
      </c>
      <c r="G39" s="218">
        <f>G32+G38</f>
        <v>4.8360845403427009</v>
      </c>
      <c r="H39" s="420">
        <f t="shared" si="3"/>
        <v>0</v>
      </c>
    </row>
    <row r="40" spans="1:8" ht="15" customHeight="1" x14ac:dyDescent="0.25">
      <c r="A40" s="169"/>
      <c r="B40" s="512" t="s">
        <v>303</v>
      </c>
      <c r="C40" s="620" t="s">
        <v>301</v>
      </c>
      <c r="D40" s="621"/>
      <c r="E40" s="357">
        <v>5.2999999999999999E-2</v>
      </c>
      <c r="F40" s="358"/>
      <c r="G40" s="537">
        <v>5.2999999999999999E-2</v>
      </c>
      <c r="H40" s="420">
        <f t="shared" si="3"/>
        <v>0</v>
      </c>
    </row>
    <row r="41" spans="1:8" ht="15" customHeight="1" x14ac:dyDescent="0.25">
      <c r="A41" s="169"/>
      <c r="B41" s="512"/>
      <c r="C41" s="345" t="s">
        <v>321</v>
      </c>
      <c r="D41" s="560"/>
      <c r="E41" s="561">
        <f>24*E39/E40</f>
        <v>2189.9250748721665</v>
      </c>
      <c r="F41" s="347" t="s">
        <v>122</v>
      </c>
      <c r="G41" s="220">
        <f>24*G39/G40</f>
        <v>2189.9250748721665</v>
      </c>
      <c r="H41" s="420">
        <f t="shared" si="3"/>
        <v>0</v>
      </c>
    </row>
    <row r="42" spans="1:8" ht="15" customHeight="1" x14ac:dyDescent="0.25">
      <c r="A42" s="169"/>
      <c r="B42" s="512"/>
      <c r="C42" s="356" t="s">
        <v>334</v>
      </c>
      <c r="D42" s="359"/>
      <c r="E42" s="360">
        <v>10</v>
      </c>
      <c r="F42" s="361" t="s">
        <v>283</v>
      </c>
      <c r="G42" s="220">
        <v>10</v>
      </c>
      <c r="H42" s="420">
        <f t="shared" si="3"/>
        <v>0</v>
      </c>
    </row>
    <row r="43" spans="1:8" ht="15" customHeight="1" x14ac:dyDescent="0.25">
      <c r="A43" s="169"/>
      <c r="B43" s="512" t="s">
        <v>302</v>
      </c>
      <c r="C43" s="311" t="s">
        <v>332</v>
      </c>
      <c r="D43" s="378" t="s">
        <v>384</v>
      </c>
      <c r="E43" s="218">
        <f>E41*(377-34.6*LN(E42))/1000000</f>
        <v>0.65113163963356835</v>
      </c>
      <c r="F43" s="312" t="s">
        <v>57</v>
      </c>
      <c r="G43" s="218">
        <f>G41*(377-34.6*LN(G42))/1000000</f>
        <v>0.65113163963356835</v>
      </c>
      <c r="H43" s="420">
        <f t="shared" si="3"/>
        <v>0</v>
      </c>
    </row>
    <row r="44" spans="1:8" ht="15" customHeight="1" x14ac:dyDescent="0.25">
      <c r="A44" s="169"/>
      <c r="B44" s="512"/>
      <c r="C44" s="337" t="s">
        <v>339</v>
      </c>
      <c r="D44" s="93"/>
      <c r="E44" s="343">
        <v>1.2</v>
      </c>
      <c r="F44" s="78"/>
      <c r="G44" s="127">
        <v>1.2</v>
      </c>
      <c r="H44" s="420">
        <f t="shared" si="3"/>
        <v>0</v>
      </c>
    </row>
    <row r="45" spans="1:8" ht="15" customHeight="1" x14ac:dyDescent="0.25">
      <c r="A45" s="169"/>
      <c r="B45" s="512"/>
      <c r="C45" s="311" t="s">
        <v>340</v>
      </c>
      <c r="D45" s="378"/>
      <c r="E45" s="218">
        <f>E44*E43</f>
        <v>0.78135796756028197</v>
      </c>
      <c r="F45" s="312" t="s">
        <v>57</v>
      </c>
      <c r="G45" s="218">
        <f>G44*G43</f>
        <v>0.78135796756028197</v>
      </c>
      <c r="H45" s="420">
        <f t="shared" si="3"/>
        <v>0</v>
      </c>
    </row>
    <row r="46" spans="1:8" ht="15" customHeight="1" x14ac:dyDescent="0.25">
      <c r="A46" s="169"/>
      <c r="B46" s="512"/>
      <c r="C46" s="345" t="s">
        <v>299</v>
      </c>
      <c r="D46" s="386">
        <f>E46/E47</f>
        <v>0.899346386664441</v>
      </c>
      <c r="E46" s="346">
        <f>E43+E45</f>
        <v>1.4324896071938502</v>
      </c>
      <c r="F46" s="347" t="s">
        <v>57</v>
      </c>
      <c r="G46" s="218">
        <f>G43+G45</f>
        <v>1.4324896071938502</v>
      </c>
      <c r="H46" s="420">
        <f t="shared" si="3"/>
        <v>0</v>
      </c>
    </row>
    <row r="47" spans="1:8" ht="15" customHeight="1" x14ac:dyDescent="0.25">
      <c r="A47" s="169"/>
      <c r="B47" s="510" t="s">
        <v>381</v>
      </c>
      <c r="C47" s="202" t="s">
        <v>294</v>
      </c>
      <c r="D47" s="330" t="s">
        <v>56</v>
      </c>
      <c r="E47" s="203">
        <f>'Parrilla de Aireación'!E59</f>
        <v>1.5928118780871163</v>
      </c>
      <c r="F47" s="278" t="s">
        <v>57</v>
      </c>
      <c r="G47" s="203">
        <f>'Parrilla de Aireación'!G59</f>
        <v>1.5928118780871163</v>
      </c>
      <c r="H47" s="420">
        <f t="shared" si="3"/>
        <v>0</v>
      </c>
    </row>
    <row r="48" spans="1:8" ht="15" customHeight="1" x14ac:dyDescent="0.25">
      <c r="A48" s="169"/>
      <c r="B48" s="514" t="s">
        <v>333</v>
      </c>
      <c r="C48" s="202" t="s">
        <v>342</v>
      </c>
      <c r="D48" s="380" t="str">
        <f>IF(ABS(E48-E47)&gt;0.005,"ejecutar función objetivo"," ")</f>
        <v xml:space="preserve"> </v>
      </c>
      <c r="E48" s="203">
        <f>E46+E36</f>
        <v>1.5899999999999999</v>
      </c>
      <c r="F48" s="278" t="s">
        <v>57</v>
      </c>
      <c r="G48" s="203">
        <f>G46+G36</f>
        <v>1.5899999999999999</v>
      </c>
      <c r="H48" s="420">
        <f t="shared" si="3"/>
        <v>0</v>
      </c>
    </row>
    <row r="49" spans="1:8" ht="15" customHeight="1" x14ac:dyDescent="0.25">
      <c r="A49" s="169"/>
      <c r="B49" s="514" t="s">
        <v>307</v>
      </c>
      <c r="C49" s="398" t="s">
        <v>309</v>
      </c>
      <c r="D49" s="395">
        <f>1-D30</f>
        <v>7.5937870875490643E-2</v>
      </c>
      <c r="E49" s="399">
        <v>3.3441696986443656E-2</v>
      </c>
      <c r="F49" s="382" t="s">
        <v>310</v>
      </c>
      <c r="G49" s="536">
        <v>3.3441696986443656E-2</v>
      </c>
      <c r="H49" s="420">
        <f t="shared" si="3"/>
        <v>0</v>
      </c>
    </row>
    <row r="50" spans="1:8" ht="15" customHeight="1" x14ac:dyDescent="0.25">
      <c r="A50" s="169"/>
      <c r="B50" s="514"/>
      <c r="C50" s="400"/>
      <c r="D50" s="401"/>
      <c r="E50" s="402">
        <f>E49*24</f>
        <v>0.80260072767464774</v>
      </c>
      <c r="F50" s="385" t="s">
        <v>322</v>
      </c>
      <c r="G50" s="427">
        <f>G49*24</f>
        <v>0.80260072767464774</v>
      </c>
      <c r="H50" s="420">
        <f t="shared" si="3"/>
        <v>0</v>
      </c>
    </row>
    <row r="51" spans="1:8" ht="15" customHeight="1" x14ac:dyDescent="0.25">
      <c r="A51" s="169"/>
      <c r="B51" s="514"/>
      <c r="C51" s="73" t="s">
        <v>324</v>
      </c>
      <c r="D51" s="116"/>
      <c r="E51" s="82">
        <f>E50+E30</f>
        <v>10.569176070140403</v>
      </c>
      <c r="F51" s="74" t="s">
        <v>322</v>
      </c>
      <c r="G51" s="203">
        <f>G50+G30</f>
        <v>10.569176070140403</v>
      </c>
      <c r="H51" s="420">
        <f t="shared" si="3"/>
        <v>0</v>
      </c>
    </row>
    <row r="52" spans="1:8" ht="15" customHeight="1" x14ac:dyDescent="0.25">
      <c r="A52" s="169"/>
      <c r="B52" s="510" t="s">
        <v>381</v>
      </c>
      <c r="C52" s="201" t="s">
        <v>89</v>
      </c>
      <c r="D52" s="33" t="s">
        <v>90</v>
      </c>
      <c r="E52" s="126">
        <f>'Parrilla de Aireación'!E25</f>
        <v>0.16510866309689981</v>
      </c>
      <c r="F52" s="124" t="s">
        <v>29</v>
      </c>
      <c r="G52" s="126">
        <f>'Parrilla de Aireación'!G25</f>
        <v>0.16510866309689981</v>
      </c>
      <c r="H52" s="420">
        <f>G52-E52</f>
        <v>0</v>
      </c>
    </row>
    <row r="53" spans="1:8" ht="15" customHeight="1" x14ac:dyDescent="0.25">
      <c r="A53" s="169"/>
      <c r="B53" s="511" t="s">
        <v>266</v>
      </c>
      <c r="C53" s="226" t="s">
        <v>182</v>
      </c>
      <c r="D53" s="227" t="s">
        <v>183</v>
      </c>
      <c r="E53" s="228">
        <f>VLOOKUP(ROUND('Parrilla de Aireación'!E28,0),'Agua-T(°C)'!B6:I46,3)</f>
        <v>8.9099999999999997E-4</v>
      </c>
      <c r="F53" s="229" t="s">
        <v>128</v>
      </c>
      <c r="G53" s="428">
        <f>VLOOKUP(ROUND('Parrilla de Aireación'!E28,0),'Agua-T(°C)'!B6:I46,3)</f>
        <v>8.9099999999999997E-4</v>
      </c>
      <c r="H53" s="420">
        <f>G53-E53</f>
        <v>0</v>
      </c>
    </row>
    <row r="54" spans="1:8" ht="15" customHeight="1" x14ac:dyDescent="0.25">
      <c r="A54" s="169"/>
      <c r="B54" s="511" t="s">
        <v>256</v>
      </c>
      <c r="C54" s="224" t="s">
        <v>257</v>
      </c>
      <c r="D54" s="391" t="s">
        <v>258</v>
      </c>
      <c r="E54" s="375" t="s">
        <v>180</v>
      </c>
      <c r="F54" s="225" t="s">
        <v>91</v>
      </c>
      <c r="G54" s="126" t="s">
        <v>180</v>
      </c>
      <c r="H54" s="420"/>
    </row>
    <row r="55" spans="1:8" ht="15" customHeight="1" x14ac:dyDescent="0.25">
      <c r="A55" s="169"/>
      <c r="B55" s="509"/>
      <c r="C55" s="30" t="s">
        <v>328</v>
      </c>
      <c r="D55" s="13" t="s">
        <v>329</v>
      </c>
      <c r="E55" s="125">
        <f>E70*E71*E68</f>
        <v>1.6524474916666669</v>
      </c>
      <c r="F55" s="312" t="s">
        <v>60</v>
      </c>
      <c r="G55" s="125">
        <f>G70*G71*G68</f>
        <v>1.6524474916666669</v>
      </c>
      <c r="H55" s="420">
        <f>G55-E55</f>
        <v>0</v>
      </c>
    </row>
    <row r="56" spans="1:8" ht="15" customHeight="1" x14ac:dyDescent="0.25">
      <c r="A56" s="169"/>
      <c r="B56" s="511" t="s">
        <v>335</v>
      </c>
      <c r="C56" s="396" t="s">
        <v>343</v>
      </c>
      <c r="D56" s="388" t="str">
        <f>IF(E56&gt;342,"No cumple",(IF(E56&lt;184,"No Cumple","Cumple")))</f>
        <v>Cumple</v>
      </c>
      <c r="E56" s="389">
        <f>(1000*E52/(E53*E55))^0.5</f>
        <v>334.8746281180467</v>
      </c>
      <c r="F56" s="390" t="s">
        <v>91</v>
      </c>
      <c r="G56" s="423">
        <f>(1000*G52/(G53*G55))^0.5</f>
        <v>334.8746281180467</v>
      </c>
      <c r="H56" s="420">
        <f>G56-E56</f>
        <v>0</v>
      </c>
    </row>
    <row r="57" spans="1:8" ht="15" customHeight="1" x14ac:dyDescent="0.25">
      <c r="A57" s="169"/>
      <c r="B57" s="511"/>
      <c r="C57" s="505" t="s">
        <v>442</v>
      </c>
      <c r="D57" s="22"/>
      <c r="E57" s="70"/>
      <c r="F57" s="506"/>
      <c r="G57" s="70"/>
      <c r="H57" s="411"/>
    </row>
    <row r="58" spans="1:8" ht="15" customHeight="1" x14ac:dyDescent="0.25">
      <c r="A58" s="169"/>
      <c r="B58" s="512"/>
      <c r="C58" s="202" t="s">
        <v>326</v>
      </c>
      <c r="D58" s="330"/>
      <c r="E58" s="387">
        <f>24*E39</f>
        <v>116.06602896822483</v>
      </c>
      <c r="F58" s="278" t="s">
        <v>281</v>
      </c>
      <c r="G58" s="387">
        <f>24*G39</f>
        <v>116.06602896822483</v>
      </c>
      <c r="H58" s="420">
        <f t="shared" ref="H58:H66" si="4">G58-E58</f>
        <v>0</v>
      </c>
    </row>
    <row r="59" spans="1:8" ht="15" customHeight="1" x14ac:dyDescent="0.25">
      <c r="A59" s="169"/>
      <c r="B59" s="512" t="s">
        <v>311</v>
      </c>
      <c r="C59" s="337" t="s">
        <v>341</v>
      </c>
      <c r="D59" s="93"/>
      <c r="E59" s="343">
        <f>E44^2</f>
        <v>1.44</v>
      </c>
      <c r="F59" s="78"/>
      <c r="G59" s="127">
        <f>G44^2</f>
        <v>1.44</v>
      </c>
      <c r="H59" s="420">
        <f t="shared" si="4"/>
        <v>0</v>
      </c>
    </row>
    <row r="60" spans="1:8" ht="15" customHeight="1" x14ac:dyDescent="0.25">
      <c r="A60" s="169"/>
      <c r="B60" s="512"/>
      <c r="C60" s="369" t="s">
        <v>417</v>
      </c>
      <c r="D60" s="370"/>
      <c r="E60" s="371">
        <f>E58/E59</f>
        <v>80.601409005711687</v>
      </c>
      <c r="F60" s="372" t="s">
        <v>281</v>
      </c>
      <c r="G60" s="555">
        <f>G58/G59</f>
        <v>80.601409005711687</v>
      </c>
      <c r="H60" s="420">
        <f t="shared" si="4"/>
        <v>0</v>
      </c>
    </row>
    <row r="61" spans="1:8" ht="15" customHeight="1" x14ac:dyDescent="0.25">
      <c r="A61" s="169"/>
      <c r="B61" s="512"/>
      <c r="C61" s="365"/>
      <c r="D61" s="366"/>
      <c r="E61" s="367">
        <f>365*E60/1000</f>
        <v>29.419514287084766</v>
      </c>
      <c r="F61" s="368" t="s">
        <v>325</v>
      </c>
      <c r="G61" s="429">
        <f>365*G60/1000</f>
        <v>29.419514287084766</v>
      </c>
      <c r="H61" s="420">
        <f t="shared" si="4"/>
        <v>0</v>
      </c>
    </row>
    <row r="62" spans="1:8" ht="15" customHeight="1" x14ac:dyDescent="0.25">
      <c r="A62" s="169"/>
      <c r="B62" s="512" t="s">
        <v>420</v>
      </c>
      <c r="C62" s="224" t="s">
        <v>313</v>
      </c>
      <c r="D62" s="333" t="s">
        <v>422</v>
      </c>
      <c r="E62" s="586">
        <v>11</v>
      </c>
      <c r="F62" s="225" t="s">
        <v>419</v>
      </c>
      <c r="G62" s="220">
        <v>11</v>
      </c>
      <c r="H62" s="420">
        <f>G62-E62</f>
        <v>0</v>
      </c>
    </row>
    <row r="63" spans="1:8" ht="15" customHeight="1" x14ac:dyDescent="0.25">
      <c r="A63" s="169"/>
      <c r="B63" s="509" t="s">
        <v>255</v>
      </c>
      <c r="C63" s="350" t="s">
        <v>314</v>
      </c>
      <c r="D63" s="352" t="s">
        <v>421</v>
      </c>
      <c r="E63" s="353">
        <v>1</v>
      </c>
      <c r="F63" s="351" t="s">
        <v>419</v>
      </c>
      <c r="G63" s="130">
        <v>1</v>
      </c>
      <c r="H63" s="420">
        <f>G63-E63</f>
        <v>0</v>
      </c>
    </row>
    <row r="64" spans="1:8" ht="15" customHeight="1" x14ac:dyDescent="0.25">
      <c r="A64" s="169"/>
      <c r="B64" s="335"/>
      <c r="C64" s="527" t="s">
        <v>315</v>
      </c>
      <c r="D64" s="395"/>
      <c r="E64" s="528">
        <f>E63+E62</f>
        <v>12</v>
      </c>
      <c r="F64" s="529" t="s">
        <v>74</v>
      </c>
      <c r="G64" s="220">
        <f>G63+G62</f>
        <v>12</v>
      </c>
      <c r="H64" s="420">
        <f>G64-E64</f>
        <v>0</v>
      </c>
    </row>
    <row r="65" spans="1:16" ht="15" customHeight="1" x14ac:dyDescent="0.25">
      <c r="A65" s="169"/>
      <c r="B65" s="510" t="s">
        <v>381</v>
      </c>
      <c r="C65" s="73" t="s">
        <v>282</v>
      </c>
      <c r="D65" s="116"/>
      <c r="E65" s="349">
        <f>'Parrilla de Aireación'!E69*'Conjunto BF'!E64</f>
        <v>19.602717490847287</v>
      </c>
      <c r="F65" s="74" t="s">
        <v>336</v>
      </c>
      <c r="G65" s="387">
        <f>'Parrilla de Aireación'!G69*'Conjunto BF'!G64</f>
        <v>19.602717490847287</v>
      </c>
      <c r="H65" s="420">
        <f t="shared" si="4"/>
        <v>0</v>
      </c>
    </row>
    <row r="66" spans="1:16" ht="15" customHeight="1" x14ac:dyDescent="0.25">
      <c r="A66" s="169"/>
      <c r="B66" s="511"/>
      <c r="C66" s="73" t="s">
        <v>337</v>
      </c>
      <c r="D66" s="116"/>
      <c r="E66" s="393">
        <f>1000*E51/E65</f>
        <v>539.16892262898045</v>
      </c>
      <c r="F66" s="74" t="s">
        <v>338</v>
      </c>
      <c r="G66" s="557">
        <f>1000*G51/G65</f>
        <v>539.16892262898045</v>
      </c>
      <c r="H66" s="420">
        <f t="shared" si="4"/>
        <v>0</v>
      </c>
    </row>
    <row r="67" spans="1:16" ht="15" customHeight="1" x14ac:dyDescent="0.25">
      <c r="A67" s="169"/>
      <c r="B67" s="511"/>
      <c r="C67" s="505" t="s">
        <v>416</v>
      </c>
      <c r="D67" s="22"/>
      <c r="E67" s="70"/>
      <c r="F67" s="506"/>
      <c r="G67" s="70"/>
      <c r="H67" s="411"/>
      <c r="I67" s="38"/>
      <c r="P67" s="35"/>
    </row>
    <row r="68" spans="1:16" ht="15" customHeight="1" x14ac:dyDescent="0.25">
      <c r="A68" s="169"/>
      <c r="B68" s="515" t="s">
        <v>267</v>
      </c>
      <c r="C68" s="101" t="s">
        <v>327</v>
      </c>
      <c r="D68" s="199"/>
      <c r="E68" s="127">
        <f>'Flotabilidad Biorreactor'!G16</f>
        <v>0.55081583055555561</v>
      </c>
      <c r="F68" s="124" t="s">
        <v>26</v>
      </c>
      <c r="G68" s="127">
        <f>'Flotabilidad Biorreactor'!G16</f>
        <v>0.55081583055555561</v>
      </c>
      <c r="H68" s="420">
        <f t="shared" ref="H68:H75" si="5">G68-E68</f>
        <v>0</v>
      </c>
      <c r="I68" s="38"/>
      <c r="P68" s="35"/>
    </row>
    <row r="69" spans="1:16" ht="15" customHeight="1" x14ac:dyDescent="0.25">
      <c r="A69" s="169"/>
      <c r="B69" s="510" t="s">
        <v>381</v>
      </c>
      <c r="C69" s="403" t="s">
        <v>254</v>
      </c>
      <c r="D69" s="404"/>
      <c r="E69" s="405">
        <f>'Parrilla de Aireación'!E38</f>
        <v>6.8794421278088019E-2</v>
      </c>
      <c r="F69" s="406" t="s">
        <v>26</v>
      </c>
      <c r="G69" s="405">
        <f>'Parrilla de Aireación'!G38</f>
        <v>6.8794421278088019E-2</v>
      </c>
      <c r="H69" s="420">
        <f t="shared" si="5"/>
        <v>0</v>
      </c>
      <c r="I69" s="38"/>
      <c r="P69" s="35"/>
    </row>
    <row r="70" spans="1:16" ht="15" customHeight="1" x14ac:dyDescent="0.25">
      <c r="A70" s="169"/>
      <c r="B70" s="509"/>
      <c r="C70" s="270" t="s">
        <v>316</v>
      </c>
      <c r="D70" s="231"/>
      <c r="E70" s="354">
        <v>1.5</v>
      </c>
      <c r="F70" s="233" t="s">
        <v>26</v>
      </c>
      <c r="G70" s="127">
        <v>1.5</v>
      </c>
      <c r="H70" s="420">
        <f t="shared" si="5"/>
        <v>0</v>
      </c>
      <c r="I70" s="38"/>
      <c r="P70" s="35"/>
    </row>
    <row r="71" spans="1:16" ht="15" customHeight="1" x14ac:dyDescent="0.25">
      <c r="A71" s="169"/>
      <c r="B71" s="509"/>
      <c r="C71" s="270" t="s">
        <v>317</v>
      </c>
      <c r="D71" s="231"/>
      <c r="E71" s="354">
        <v>2</v>
      </c>
      <c r="F71" s="233" t="s">
        <v>26</v>
      </c>
      <c r="G71" s="127">
        <v>2</v>
      </c>
      <c r="H71" s="420">
        <f t="shared" si="5"/>
        <v>0</v>
      </c>
      <c r="I71" s="38"/>
      <c r="P71" s="35"/>
    </row>
    <row r="72" spans="1:16" ht="15" customHeight="1" x14ac:dyDescent="0.25">
      <c r="A72" s="169"/>
      <c r="B72" s="509"/>
      <c r="C72" s="362" t="s">
        <v>390</v>
      </c>
      <c r="D72" s="538"/>
      <c r="E72" s="539">
        <f>E69*E70*E71</f>
        <v>0.20638326383426406</v>
      </c>
      <c r="F72" s="363" t="s">
        <v>60</v>
      </c>
      <c r="G72" s="218">
        <f>G69*G70*G71</f>
        <v>0.20638326383426406</v>
      </c>
      <c r="H72" s="420">
        <f t="shared" si="5"/>
        <v>0</v>
      </c>
      <c r="I72" s="38"/>
      <c r="P72" s="35"/>
    </row>
    <row r="73" spans="1:16" ht="15" customHeight="1" x14ac:dyDescent="0.25">
      <c r="A73" s="169"/>
      <c r="B73" s="511"/>
      <c r="C73" s="101" t="s">
        <v>387</v>
      </c>
      <c r="D73" s="199"/>
      <c r="E73" s="127">
        <f>'Parrilla de Aireación'!E58*'Conjunto BF'!E72</f>
        <v>1.2382995830055843</v>
      </c>
      <c r="F73" s="124" t="s">
        <v>60</v>
      </c>
      <c r="G73" s="125">
        <f>'Parrilla de Aireación'!G58*G69*G70*G71</f>
        <v>1.2382995830055843</v>
      </c>
      <c r="H73" s="420">
        <f t="shared" si="5"/>
        <v>0</v>
      </c>
      <c r="I73" s="38"/>
      <c r="P73" s="35"/>
    </row>
    <row r="74" spans="1:16" ht="15" customHeight="1" x14ac:dyDescent="0.25">
      <c r="A74" s="169"/>
      <c r="B74" s="511"/>
      <c r="C74" s="556" t="s">
        <v>75</v>
      </c>
      <c r="D74" s="222"/>
      <c r="E74" s="223">
        <f>'[1]Datos Bioportadores PP'!$F$35</f>
        <v>605.47590018476353</v>
      </c>
      <c r="F74" s="534" t="s">
        <v>76</v>
      </c>
      <c r="G74" s="449">
        <f>'[1]Datos Bioportadores PP'!$F$35</f>
        <v>605.47590018476353</v>
      </c>
      <c r="H74" s="420">
        <f t="shared" si="5"/>
        <v>0</v>
      </c>
      <c r="I74" s="38"/>
      <c r="P74" s="35"/>
    </row>
    <row r="75" spans="1:16" ht="15" customHeight="1" x14ac:dyDescent="0.25">
      <c r="A75" s="169"/>
      <c r="B75" s="511"/>
      <c r="C75" s="201" t="s">
        <v>388</v>
      </c>
      <c r="D75" s="587"/>
      <c r="E75" s="130">
        <f>E74*E73</f>
        <v>749.76055471872348</v>
      </c>
      <c r="F75" s="124" t="s">
        <v>72</v>
      </c>
      <c r="G75" s="220">
        <f>G74*G73</f>
        <v>749.76055471872348</v>
      </c>
      <c r="H75" s="420">
        <f t="shared" si="5"/>
        <v>0</v>
      </c>
      <c r="I75" s="38"/>
      <c r="P75" s="35"/>
    </row>
    <row r="76" spans="1:16" ht="15" customHeight="1" x14ac:dyDescent="0.25">
      <c r="A76" s="169"/>
      <c r="B76" s="131"/>
      <c r="C76" s="505" t="s">
        <v>395</v>
      </c>
      <c r="D76" s="22"/>
      <c r="E76" s="70"/>
      <c r="F76" s="506"/>
      <c r="G76" s="70"/>
      <c r="H76" s="411"/>
      <c r="I76" s="36"/>
      <c r="P76" s="35"/>
    </row>
    <row r="77" spans="1:16" ht="15" customHeight="1" x14ac:dyDescent="0.25">
      <c r="A77" s="169"/>
      <c r="B77" s="513" t="s">
        <v>394</v>
      </c>
      <c r="C77" s="540" t="s">
        <v>391</v>
      </c>
      <c r="D77" s="541" t="s">
        <v>392</v>
      </c>
      <c r="E77" s="542">
        <v>20</v>
      </c>
      <c r="F77" s="93"/>
      <c r="G77" s="449">
        <v>20</v>
      </c>
      <c r="H77" s="545">
        <f>G77-E77</f>
        <v>0</v>
      </c>
      <c r="I77" s="36"/>
      <c r="P77" s="35"/>
    </row>
    <row r="78" spans="1:16" ht="15" customHeight="1" x14ac:dyDescent="0.25">
      <c r="A78" s="169"/>
      <c r="B78" s="544"/>
      <c r="C78" s="355" t="s">
        <v>418</v>
      </c>
      <c r="D78" s="553"/>
      <c r="E78" s="554">
        <f>E77*E50</f>
        <v>16.052014553492956</v>
      </c>
      <c r="F78" s="529" t="s">
        <v>281</v>
      </c>
      <c r="G78" s="213">
        <f>G77*G50</f>
        <v>16.052014553492956</v>
      </c>
      <c r="H78" s="545">
        <f>G78-E78</f>
        <v>0</v>
      </c>
      <c r="I78" s="36"/>
      <c r="P78" s="35"/>
    </row>
    <row r="79" spans="1:16" ht="15" customHeight="1" x14ac:dyDescent="0.25">
      <c r="A79" s="169"/>
      <c r="B79" s="301" t="s">
        <v>399</v>
      </c>
      <c r="C79" s="540" t="s">
        <v>396</v>
      </c>
      <c r="D79" s="93"/>
      <c r="E79" s="543">
        <v>5.0700000000000002E-2</v>
      </c>
      <c r="F79" s="93"/>
      <c r="G79" s="559">
        <v>5.0700000000000002E-2</v>
      </c>
      <c r="H79" s="211">
        <f t="shared" ref="H79:H82" si="6">G79-E79</f>
        <v>0</v>
      </c>
      <c r="I79" s="36"/>
      <c r="P79" s="35"/>
    </row>
    <row r="80" spans="1:16" ht="15" customHeight="1" x14ac:dyDescent="0.25">
      <c r="A80" s="169"/>
      <c r="B80" s="301" t="s">
        <v>399</v>
      </c>
      <c r="C80" s="540" t="s">
        <v>397</v>
      </c>
      <c r="D80" s="93"/>
      <c r="E80" s="543">
        <v>8.4000000000000005E-2</v>
      </c>
      <c r="F80" s="93"/>
      <c r="G80" s="559">
        <v>8.4000000000000005E-2</v>
      </c>
      <c r="H80" s="211">
        <f t="shared" si="6"/>
        <v>0</v>
      </c>
      <c r="I80" s="36"/>
      <c r="P80" s="35"/>
    </row>
    <row r="81" spans="1:16" ht="15" customHeight="1" x14ac:dyDescent="0.25">
      <c r="A81" s="169"/>
      <c r="B81" s="301" t="s">
        <v>399</v>
      </c>
      <c r="C81" s="337" t="s">
        <v>441</v>
      </c>
      <c r="D81" s="541"/>
      <c r="E81" s="543">
        <v>0.54</v>
      </c>
      <c r="F81" s="93"/>
      <c r="G81" s="559">
        <v>0.54</v>
      </c>
      <c r="H81" s="211">
        <f t="shared" si="6"/>
        <v>0</v>
      </c>
      <c r="I81" s="36"/>
      <c r="P81" s="35"/>
    </row>
    <row r="82" spans="1:16" ht="15" customHeight="1" x14ac:dyDescent="0.25">
      <c r="A82" s="169"/>
      <c r="B82" s="131"/>
      <c r="C82" s="546" t="s">
        <v>393</v>
      </c>
      <c r="D82" s="547"/>
      <c r="E82" s="547">
        <f>E79+E80</f>
        <v>0.13470000000000001</v>
      </c>
      <c r="F82" s="548"/>
      <c r="G82" s="558">
        <f>G79+G80</f>
        <v>0.13470000000000001</v>
      </c>
      <c r="H82" s="211">
        <f t="shared" si="6"/>
        <v>0</v>
      </c>
      <c r="I82" s="36"/>
      <c r="P82" s="35"/>
    </row>
    <row r="83" spans="1:16" ht="15" customHeight="1" x14ac:dyDescent="0.25">
      <c r="A83" s="169"/>
      <c r="B83" s="511"/>
      <c r="C83" s="101" t="s">
        <v>400</v>
      </c>
      <c r="D83" s="199"/>
      <c r="E83" s="582">
        <f>E78/(E82*E15)</f>
        <v>23.83372613733178</v>
      </c>
      <c r="F83" s="124" t="s">
        <v>281</v>
      </c>
      <c r="G83" s="582">
        <f>G78/(G82*G15)</f>
        <v>23.83372613733178</v>
      </c>
      <c r="H83" s="420">
        <f t="shared" ref="H83:H84" si="7">G83-E83</f>
        <v>0</v>
      </c>
      <c r="I83" s="36"/>
      <c r="P83" s="35"/>
    </row>
    <row r="84" spans="1:16" ht="15" customHeight="1" x14ac:dyDescent="0.25">
      <c r="A84" s="169"/>
      <c r="B84" s="511"/>
      <c r="C84" s="549" t="s">
        <v>401</v>
      </c>
      <c r="D84" s="550"/>
      <c r="E84" s="551">
        <f>E83/'Parrilla de Aireación'!E58</f>
        <v>3.9722876895552965</v>
      </c>
      <c r="F84" s="552" t="s">
        <v>281</v>
      </c>
      <c r="G84" s="127">
        <f>G83/'Parrilla de Aireación'!G58</f>
        <v>3.9722876895552965</v>
      </c>
      <c r="H84" s="420">
        <f t="shared" si="7"/>
        <v>0</v>
      </c>
      <c r="I84" s="36"/>
      <c r="P84" s="35"/>
    </row>
    <row r="85" spans="1:16" ht="15" customHeight="1" x14ac:dyDescent="0.25">
      <c r="E85" s="394"/>
      <c r="F85" s="1"/>
      <c r="I85" s="24"/>
      <c r="J85" s="6"/>
    </row>
    <row r="86" spans="1:16" ht="15" customHeight="1" x14ac:dyDescent="0.25">
      <c r="C86" s="610" t="s">
        <v>359</v>
      </c>
      <c r="D86" s="611"/>
      <c r="E86"/>
      <c r="F86"/>
      <c r="I86" s="24"/>
      <c r="J86" s="6"/>
    </row>
    <row r="87" spans="1:16" ht="15" customHeight="1" x14ac:dyDescent="0.25">
      <c r="C87" s="612" t="s">
        <v>365</v>
      </c>
      <c r="D87" s="613"/>
      <c r="E87" s="606"/>
      <c r="F87" s="606"/>
      <c r="I87" s="24"/>
      <c r="J87" s="6"/>
      <c r="L87" s="34"/>
    </row>
    <row r="88" spans="1:16" ht="15" customHeight="1" x14ac:dyDescent="0.25">
      <c r="C88" s="612" t="s">
        <v>366</v>
      </c>
      <c r="D88" s="613"/>
      <c r="E88" s="606"/>
      <c r="F88" s="606"/>
      <c r="I88" s="24"/>
      <c r="J88" s="6"/>
      <c r="L88" s="34"/>
    </row>
    <row r="89" spans="1:16" ht="15" customHeight="1" x14ac:dyDescent="0.25">
      <c r="C89" s="612" t="s">
        <v>367</v>
      </c>
      <c r="D89" s="614"/>
      <c r="E89" s="614"/>
      <c r="F89" s="614"/>
      <c r="G89" s="430"/>
      <c r="I89" s="24"/>
      <c r="J89" s="6"/>
      <c r="L89" s="34"/>
    </row>
    <row r="90" spans="1:16" ht="15.75" customHeight="1" x14ac:dyDescent="0.25">
      <c r="C90" s="612" t="s">
        <v>368</v>
      </c>
      <c r="D90" s="613"/>
      <c r="E90" s="606"/>
      <c r="F90" s="606"/>
      <c r="G90" s="430"/>
      <c r="I90" s="24"/>
      <c r="J90" s="6"/>
      <c r="L90" s="34"/>
    </row>
    <row r="91" spans="1:16" ht="15" customHeight="1" x14ac:dyDescent="0.25">
      <c r="C91" s="612" t="s">
        <v>360</v>
      </c>
      <c r="D91" s="613"/>
      <c r="E91" s="606"/>
      <c r="F91" s="606"/>
      <c r="G91" s="430"/>
      <c r="I91" s="24"/>
      <c r="J91" s="6"/>
      <c r="L91" s="34"/>
    </row>
    <row r="92" spans="1:16" x14ac:dyDescent="0.25">
      <c r="C92" s="612" t="s">
        <v>385</v>
      </c>
      <c r="D92" s="606"/>
      <c r="E92" s="606"/>
      <c r="F92" s="606"/>
      <c r="G92" s="430"/>
      <c r="I92" s="24"/>
      <c r="J92" s="6"/>
      <c r="L92" s="34"/>
    </row>
    <row r="93" spans="1:16" ht="15" customHeight="1" x14ac:dyDescent="0.25">
      <c r="C93" s="612" t="s">
        <v>369</v>
      </c>
      <c r="D93" s="606"/>
      <c r="E93" s="606"/>
      <c r="F93" s="606"/>
      <c r="G93" s="430"/>
      <c r="I93" s="24"/>
      <c r="J93" s="6"/>
      <c r="L93" s="34"/>
    </row>
    <row r="94" spans="1:16" ht="15" customHeight="1" x14ac:dyDescent="0.25">
      <c r="C94" s="612" t="s">
        <v>370</v>
      </c>
      <c r="D94" s="606"/>
      <c r="E94" s="606"/>
      <c r="F94" s="606"/>
      <c r="G94" s="430"/>
      <c r="I94" s="24"/>
      <c r="J94" s="6"/>
      <c r="L94" s="34"/>
    </row>
    <row r="95" spans="1:16" ht="15" customHeight="1" x14ac:dyDescent="0.25">
      <c r="C95" s="612" t="s">
        <v>371</v>
      </c>
      <c r="D95" s="606"/>
      <c r="E95" s="606"/>
      <c r="F95" s="606"/>
      <c r="G95" s="430"/>
      <c r="I95" s="24"/>
      <c r="J95" s="6"/>
      <c r="L95" s="34"/>
    </row>
    <row r="96" spans="1:16" ht="15" customHeight="1" x14ac:dyDescent="0.25">
      <c r="C96" s="612" t="s">
        <v>372</v>
      </c>
      <c r="D96" s="606"/>
      <c r="E96" s="606"/>
      <c r="F96" s="606"/>
      <c r="G96" s="430"/>
      <c r="I96" s="24"/>
      <c r="J96" s="6"/>
      <c r="L96" s="34"/>
    </row>
    <row r="97" spans="2:12" ht="15" customHeight="1" x14ac:dyDescent="0.25">
      <c r="C97" s="612" t="s">
        <v>373</v>
      </c>
      <c r="D97" s="606"/>
      <c r="E97" s="606"/>
      <c r="F97" s="606"/>
      <c r="G97" s="430"/>
      <c r="I97" s="24"/>
      <c r="J97" s="6"/>
      <c r="L97" s="34"/>
    </row>
    <row r="98" spans="2:12" ht="15" customHeight="1" x14ac:dyDescent="0.25">
      <c r="C98" s="612" t="s">
        <v>386</v>
      </c>
      <c r="D98" s="606"/>
      <c r="E98" s="606"/>
      <c r="F98" s="606"/>
      <c r="G98" s="430"/>
      <c r="I98" s="24"/>
      <c r="J98" s="6"/>
      <c r="L98" s="34"/>
    </row>
    <row r="99" spans="2:12" ht="15" customHeight="1" x14ac:dyDescent="0.25">
      <c r="C99" s="612" t="s">
        <v>374</v>
      </c>
      <c r="D99" s="606"/>
      <c r="E99" s="606"/>
      <c r="F99" s="606"/>
      <c r="G99" s="430"/>
      <c r="I99" s="24"/>
      <c r="J99" s="6"/>
      <c r="L99" s="34"/>
    </row>
    <row r="100" spans="2:12" ht="15" customHeight="1" x14ac:dyDescent="0.25">
      <c r="C100" s="612" t="s">
        <v>375</v>
      </c>
      <c r="D100" s="606"/>
      <c r="E100" s="606"/>
      <c r="F100" s="606"/>
      <c r="G100" s="430"/>
      <c r="I100" s="24"/>
      <c r="J100" s="6"/>
      <c r="L100" s="34"/>
    </row>
    <row r="101" spans="2:12" ht="15" customHeight="1" x14ac:dyDescent="0.25">
      <c r="C101" s="612" t="s">
        <v>361</v>
      </c>
      <c r="D101" s="614"/>
      <c r="E101" s="614"/>
      <c r="F101" s="614"/>
      <c r="J101" s="195"/>
    </row>
    <row r="102" spans="2:12" ht="15" customHeight="1" x14ac:dyDescent="0.25">
      <c r="C102" s="602" t="s">
        <v>362</v>
      </c>
      <c r="D102" s="602"/>
      <c r="E102" s="602"/>
      <c r="F102" s="602"/>
      <c r="J102" s="77"/>
    </row>
    <row r="103" spans="2:12" ht="15" customHeight="1" x14ac:dyDescent="0.25">
      <c r="C103" s="602" t="s">
        <v>363</v>
      </c>
      <c r="D103" s="605"/>
      <c r="E103" s="605"/>
      <c r="F103" s="605"/>
      <c r="J103" s="77"/>
    </row>
    <row r="104" spans="2:12" ht="15" customHeight="1" x14ac:dyDescent="0.25">
      <c r="C104" s="602" t="s">
        <v>376</v>
      </c>
      <c r="D104" s="604"/>
      <c r="E104" s="603"/>
      <c r="F104" s="603"/>
      <c r="J104" s="152"/>
    </row>
    <row r="105" spans="2:12" ht="15" customHeight="1" x14ac:dyDescent="0.25">
      <c r="C105" s="602" t="s">
        <v>377</v>
      </c>
      <c r="D105" s="604"/>
      <c r="E105" s="603"/>
      <c r="F105" s="603"/>
      <c r="J105" s="152"/>
    </row>
    <row r="106" spans="2:12" ht="15" customHeight="1" x14ac:dyDescent="0.25">
      <c r="C106" s="602" t="s">
        <v>378</v>
      </c>
      <c r="D106" s="606"/>
      <c r="E106" s="606"/>
      <c r="F106" s="606"/>
      <c r="J106" s="196"/>
    </row>
    <row r="107" spans="2:12" ht="15" customHeight="1" x14ac:dyDescent="0.25">
      <c r="C107" s="602" t="s">
        <v>364</v>
      </c>
      <c r="D107" s="603"/>
      <c r="E107" s="603"/>
      <c r="F107" s="603"/>
      <c r="J107" s="77"/>
    </row>
    <row r="108" spans="2:12" ht="15" customHeight="1" x14ac:dyDescent="0.25">
      <c r="B108" s="173"/>
      <c r="C108" s="602" t="s">
        <v>379</v>
      </c>
      <c r="D108" s="604"/>
      <c r="E108" s="603"/>
      <c r="F108" s="603"/>
      <c r="G108" s="431"/>
      <c r="H108" s="415"/>
      <c r="I108" s="77"/>
      <c r="J108" s="77"/>
    </row>
    <row r="109" spans="2:12" ht="15" customHeight="1" x14ac:dyDescent="0.25">
      <c r="B109" s="173"/>
      <c r="C109" s="612"/>
      <c r="D109" s="613"/>
      <c r="E109" s="606"/>
      <c r="F109" s="606"/>
      <c r="G109" s="432"/>
      <c r="H109" s="415"/>
      <c r="I109" s="77"/>
    </row>
    <row r="110" spans="2:12" ht="15" customHeight="1" x14ac:dyDescent="0.25">
      <c r="G110" s="71"/>
      <c r="I110" s="24"/>
    </row>
    <row r="111" spans="2:12" ht="15" customHeight="1" x14ac:dyDescent="0.25">
      <c r="G111" s="433"/>
      <c r="H111" s="415"/>
      <c r="I111" s="68"/>
      <c r="J111" s="68"/>
    </row>
    <row r="112" spans="2:12" ht="15" customHeight="1" x14ac:dyDescent="0.25">
      <c r="G112" s="433"/>
      <c r="H112" s="415"/>
      <c r="I112" s="68"/>
      <c r="J112" s="68"/>
    </row>
    <row r="113" spans="3:9" ht="15" customHeight="1" x14ac:dyDescent="0.25">
      <c r="G113" s="71"/>
      <c r="I113" s="16"/>
    </row>
    <row r="114" spans="3:9" ht="15" customHeight="1" x14ac:dyDescent="0.25">
      <c r="G114" s="71"/>
      <c r="I114" s="16"/>
    </row>
    <row r="115" spans="3:9" ht="15" customHeight="1" x14ac:dyDescent="0.25">
      <c r="G115" s="71"/>
    </row>
    <row r="116" spans="3:9" ht="15" customHeight="1" x14ac:dyDescent="0.25">
      <c r="G116" s="76"/>
      <c r="I116" s="16"/>
    </row>
    <row r="117" spans="3:9" ht="15" customHeight="1" x14ac:dyDescent="0.25">
      <c r="G117" s="76"/>
      <c r="I117" s="16"/>
    </row>
    <row r="118" spans="3:9" ht="15" customHeight="1" x14ac:dyDescent="0.25">
      <c r="C118" s="8"/>
      <c r="D118" s="27"/>
      <c r="E118" s="44"/>
      <c r="F118" s="25"/>
      <c r="G118" s="434"/>
    </row>
    <row r="119" spans="3:9" ht="15" customHeight="1" x14ac:dyDescent="0.25">
      <c r="D119" s="27"/>
      <c r="E119" s="132"/>
      <c r="F119" s="1"/>
      <c r="G119" s="71"/>
    </row>
    <row r="120" spans="3:9" ht="15" customHeight="1" x14ac:dyDescent="0.25">
      <c r="C120" s="6"/>
      <c r="D120" s="27"/>
      <c r="E120" s="68"/>
      <c r="F120" s="1"/>
      <c r="G120" s="71"/>
    </row>
    <row r="121" spans="3:9" ht="15" customHeight="1" x14ac:dyDescent="0.25">
      <c r="C121" s="6"/>
      <c r="D121" s="27"/>
      <c r="E121" s="133"/>
      <c r="F121" s="1"/>
      <c r="G121" s="71"/>
    </row>
    <row r="122" spans="3:9" ht="15" customHeight="1" x14ac:dyDescent="0.25">
      <c r="C122" s="6"/>
      <c r="D122" s="27"/>
      <c r="E122" s="134"/>
      <c r="F122" s="1"/>
      <c r="G122" s="71"/>
    </row>
    <row r="123" spans="3:9" ht="15" customHeight="1" x14ac:dyDescent="0.25">
      <c r="D123" s="27"/>
      <c r="E123" s="135"/>
      <c r="F123" s="1"/>
      <c r="G123" s="71"/>
    </row>
    <row r="124" spans="3:9" ht="15" customHeight="1" x14ac:dyDescent="0.25">
      <c r="C124" s="6"/>
      <c r="D124" s="12"/>
      <c r="E124" s="28"/>
      <c r="F124" s="6"/>
      <c r="G124" s="71"/>
    </row>
    <row r="125" spans="3:9" ht="15" customHeight="1" x14ac:dyDescent="0.25">
      <c r="C125" s="6"/>
      <c r="D125" s="27"/>
      <c r="E125" s="132"/>
      <c r="F125" s="6"/>
      <c r="G125" s="71"/>
    </row>
    <row r="126" spans="3:9" ht="15" customHeight="1" x14ac:dyDescent="0.25">
      <c r="D126" s="27"/>
      <c r="E126" s="132"/>
      <c r="F126" s="1"/>
      <c r="G126" s="71"/>
    </row>
    <row r="127" spans="3:9" ht="15" customHeight="1" x14ac:dyDescent="0.25">
      <c r="C127" s="6"/>
      <c r="D127" s="27"/>
      <c r="E127" s="68"/>
      <c r="F127" s="1"/>
      <c r="G127" s="71"/>
    </row>
    <row r="128" spans="3:9" ht="15" customHeight="1" x14ac:dyDescent="0.25">
      <c r="D128" s="27"/>
      <c r="E128" s="132"/>
      <c r="F128" s="1"/>
      <c r="G128" s="71"/>
    </row>
    <row r="129" spans="3:8" ht="15" customHeight="1" x14ac:dyDescent="0.25">
      <c r="C129" s="6"/>
      <c r="D129" s="27"/>
      <c r="E129" s="132"/>
      <c r="F129" s="1"/>
      <c r="G129" s="71"/>
    </row>
    <row r="130" spans="3:8" ht="15" customHeight="1" x14ac:dyDescent="0.25">
      <c r="C130" s="136"/>
      <c r="D130" s="12"/>
      <c r="E130" s="137"/>
      <c r="F130" s="136"/>
      <c r="G130" s="435"/>
      <c r="H130" s="419"/>
    </row>
    <row r="131" spans="3:8" ht="15" customHeight="1" x14ac:dyDescent="0.25">
      <c r="C131" s="8"/>
      <c r="D131" s="12"/>
      <c r="E131" s="138"/>
      <c r="F131" s="8"/>
      <c r="G131" s="434"/>
    </row>
    <row r="132" spans="3:8" ht="15" customHeight="1" x14ac:dyDescent="0.25">
      <c r="C132" s="8"/>
      <c r="D132" s="12"/>
      <c r="E132" s="138"/>
      <c r="F132" s="8"/>
      <c r="G132" s="434"/>
    </row>
    <row r="133" spans="3:8" ht="15" customHeight="1" x14ac:dyDescent="0.25">
      <c r="C133" s="6"/>
      <c r="D133" s="12"/>
      <c r="E133" s="28"/>
      <c r="F133" s="6"/>
      <c r="G133" s="71"/>
    </row>
    <row r="134" spans="3:8" ht="15" customHeight="1" x14ac:dyDescent="0.25">
      <c r="C134" s="6"/>
      <c r="D134" s="12"/>
      <c r="E134" s="139"/>
      <c r="F134" s="6"/>
      <c r="G134" s="71"/>
    </row>
    <row r="135" spans="3:8" ht="15" customHeight="1" x14ac:dyDescent="0.25">
      <c r="C135" s="6"/>
      <c r="D135" s="12"/>
      <c r="E135" s="140"/>
      <c r="F135" s="6"/>
      <c r="G135" s="71"/>
    </row>
    <row r="136" spans="3:8" ht="15" customHeight="1" x14ac:dyDescent="0.25">
      <c r="C136" s="6"/>
      <c r="D136" s="12"/>
      <c r="E136" s="141"/>
      <c r="F136" s="6"/>
      <c r="G136" s="71"/>
    </row>
    <row r="137" spans="3:8" ht="15" customHeight="1" x14ac:dyDescent="0.25">
      <c r="C137" s="6"/>
      <c r="D137" s="12"/>
      <c r="E137" s="142"/>
      <c r="F137" s="6"/>
      <c r="G137" s="71"/>
    </row>
    <row r="138" spans="3:8" ht="15" customHeight="1" x14ac:dyDescent="0.25">
      <c r="C138" s="12"/>
      <c r="D138" s="27"/>
      <c r="E138" s="132"/>
      <c r="F138" s="6"/>
      <c r="G138" s="71"/>
    </row>
    <row r="139" spans="3:8" ht="15" customHeight="1" x14ac:dyDescent="0.25">
      <c r="D139" s="12"/>
      <c r="E139" s="12"/>
      <c r="F139" s="12"/>
      <c r="G139" s="436"/>
    </row>
    <row r="140" spans="3:8" ht="15" customHeight="1" x14ac:dyDescent="0.25">
      <c r="C140" s="6"/>
      <c r="D140" s="143"/>
      <c r="E140" s="143"/>
      <c r="F140" s="143"/>
      <c r="G140" s="437"/>
    </row>
    <row r="141" spans="3:8" ht="15" customHeight="1" x14ac:dyDescent="0.25">
      <c r="C141" s="6"/>
      <c r="D141" s="144"/>
      <c r="E141" s="144"/>
      <c r="F141" s="144"/>
      <c r="G141" s="438"/>
    </row>
    <row r="142" spans="3:8" ht="15" customHeight="1" x14ac:dyDescent="0.25">
      <c r="C142" s="6"/>
      <c r="D142" s="143"/>
      <c r="E142" s="143"/>
      <c r="F142" s="143"/>
      <c r="G142" s="437"/>
    </row>
    <row r="143" spans="3:8" ht="15" customHeight="1" x14ac:dyDescent="0.25">
      <c r="C143" s="6"/>
      <c r="D143" s="27"/>
      <c r="E143" s="44"/>
      <c r="F143" s="8"/>
      <c r="G143" s="434"/>
    </row>
    <row r="144" spans="3:8" ht="15" customHeight="1" x14ac:dyDescent="0.25">
      <c r="C144" s="136"/>
      <c r="D144" s="12"/>
      <c r="E144" s="137"/>
      <c r="F144" s="136"/>
      <c r="G144" s="435"/>
      <c r="H144" s="419"/>
    </row>
    <row r="145" spans="3:12" ht="15" customHeight="1" x14ac:dyDescent="0.25">
      <c r="C145" s="8"/>
      <c r="D145" s="12"/>
      <c r="E145" s="138"/>
      <c r="F145" s="8"/>
      <c r="G145" s="434"/>
    </row>
    <row r="146" spans="3:12" ht="15" customHeight="1" x14ac:dyDescent="0.25">
      <c r="C146" s="6"/>
      <c r="D146" s="12"/>
      <c r="E146" s="28"/>
      <c r="F146" s="6"/>
      <c r="G146" s="71"/>
    </row>
    <row r="147" spans="3:12" ht="15" customHeight="1" x14ac:dyDescent="0.25">
      <c r="D147" s="12"/>
      <c r="E147" s="138"/>
      <c r="F147" s="8"/>
      <c r="G147" s="434"/>
    </row>
    <row r="148" spans="3:12" ht="15" customHeight="1" x14ac:dyDescent="0.25">
      <c r="C148" s="6"/>
      <c r="D148" s="12"/>
      <c r="E148" s="138"/>
      <c r="F148" s="8"/>
      <c r="G148" s="434"/>
    </row>
    <row r="149" spans="3:12" ht="15" customHeight="1" x14ac:dyDescent="0.25">
      <c r="C149" s="6"/>
      <c r="D149" s="12"/>
      <c r="E149" s="145"/>
      <c r="F149" s="6"/>
      <c r="G149" s="71"/>
    </row>
    <row r="150" spans="3:12" ht="15" customHeight="1" x14ac:dyDescent="0.25">
      <c r="C150" s="6"/>
      <c r="D150" s="12"/>
      <c r="E150" s="28"/>
      <c r="F150" s="6"/>
      <c r="G150" s="71"/>
    </row>
    <row r="151" spans="3:12" ht="15" customHeight="1" x14ac:dyDescent="0.25">
      <c r="C151" s="136"/>
      <c r="D151" s="12"/>
      <c r="E151" s="137"/>
      <c r="F151" s="136"/>
      <c r="G151" s="435"/>
      <c r="H151" s="419"/>
    </row>
    <row r="152" spans="3:12" ht="15" customHeight="1" x14ac:dyDescent="0.25">
      <c r="D152" s="27"/>
      <c r="E152" s="68"/>
      <c r="F152" s="1"/>
      <c r="G152" s="71"/>
    </row>
    <row r="153" spans="3:12" ht="15" customHeight="1" x14ac:dyDescent="0.25">
      <c r="C153" s="6"/>
      <c r="D153" s="27"/>
      <c r="E153" s="132"/>
      <c r="F153" s="25"/>
      <c r="G153" s="434"/>
    </row>
    <row r="154" spans="3:12" ht="15" customHeight="1" x14ac:dyDescent="0.25">
      <c r="C154" s="8"/>
      <c r="D154" s="12"/>
      <c r="E154" s="138"/>
      <c r="F154" s="8"/>
      <c r="G154" s="434"/>
    </row>
    <row r="155" spans="3:12" ht="15" customHeight="1" x14ac:dyDescent="0.25">
      <c r="C155" s="8"/>
      <c r="D155" s="12"/>
      <c r="E155" s="138"/>
      <c r="F155" s="8"/>
      <c r="G155" s="434"/>
    </row>
    <row r="156" spans="3:12" ht="15" customHeight="1" x14ac:dyDescent="0.25">
      <c r="C156" s="6"/>
      <c r="D156" s="12"/>
      <c r="E156" s="28"/>
      <c r="F156" s="6"/>
      <c r="G156" s="71"/>
    </row>
    <row r="157" spans="3:12" ht="15" customHeight="1" x14ac:dyDescent="0.25">
      <c r="D157" s="12"/>
      <c r="E157" s="138"/>
      <c r="F157" s="8"/>
      <c r="G157" s="434"/>
    </row>
    <row r="158" spans="3:12" ht="15" customHeight="1" x14ac:dyDescent="0.25">
      <c r="C158" s="6"/>
      <c r="D158" s="12"/>
      <c r="E158" s="138"/>
      <c r="F158" s="8"/>
      <c r="G158" s="434"/>
    </row>
    <row r="159" spans="3:12" ht="15" customHeight="1" x14ac:dyDescent="0.25">
      <c r="C159" s="6"/>
      <c r="D159" s="12"/>
      <c r="E159" s="145"/>
      <c r="F159" s="6"/>
      <c r="G159" s="71"/>
    </row>
    <row r="160" spans="3:12" ht="15" customHeight="1" x14ac:dyDescent="0.25">
      <c r="C160" s="6"/>
      <c r="D160" s="12"/>
      <c r="E160" s="28"/>
      <c r="F160" s="6"/>
      <c r="G160" s="71"/>
      <c r="J160" s="46"/>
      <c r="K160" s="47"/>
      <c r="L160" s="46"/>
    </row>
    <row r="161" spans="3:12" ht="15" customHeight="1" x14ac:dyDescent="0.25">
      <c r="C161" s="136"/>
      <c r="D161" s="12"/>
      <c r="E161" s="137"/>
      <c r="F161" s="136"/>
      <c r="G161" s="435"/>
      <c r="H161" s="419"/>
      <c r="J161" s="46"/>
      <c r="K161" s="46"/>
      <c r="L161" s="46"/>
    </row>
    <row r="162" spans="3:12" ht="15" customHeight="1" x14ac:dyDescent="0.25">
      <c r="C162" s="28"/>
      <c r="D162" s="146"/>
      <c r="E162" s="147"/>
      <c r="F162" s="148"/>
      <c r="G162" s="439"/>
      <c r="J162" s="46"/>
      <c r="K162" s="46"/>
      <c r="L162" s="48"/>
    </row>
    <row r="163" spans="3:12" ht="15" customHeight="1" x14ac:dyDescent="0.25">
      <c r="C163" s="6"/>
      <c r="D163" s="12"/>
      <c r="E163" s="149"/>
      <c r="F163" s="6"/>
      <c r="G163" s="71"/>
      <c r="J163" s="46"/>
      <c r="K163" s="46"/>
      <c r="L163" s="48"/>
    </row>
    <row r="164" spans="3:12" ht="15" customHeight="1" x14ac:dyDescent="0.25">
      <c r="C164" s="8"/>
      <c r="D164" s="12"/>
      <c r="E164" s="138"/>
      <c r="F164" s="8"/>
      <c r="G164" s="434"/>
      <c r="J164" s="46"/>
      <c r="K164" s="46"/>
      <c r="L164" s="48"/>
    </row>
    <row r="165" spans="3:12" ht="15" customHeight="1" x14ac:dyDescent="0.25">
      <c r="C165" s="6"/>
      <c r="D165" s="12"/>
      <c r="E165" s="28"/>
      <c r="F165" s="6"/>
      <c r="G165" s="71"/>
      <c r="J165" s="46"/>
      <c r="K165" s="46"/>
      <c r="L165" s="48"/>
    </row>
    <row r="166" spans="3:12" ht="15" customHeight="1" x14ac:dyDescent="0.25">
      <c r="C166" s="6"/>
      <c r="D166" s="12"/>
      <c r="E166" s="139"/>
      <c r="F166" s="6"/>
      <c r="G166" s="71"/>
      <c r="J166" s="46"/>
      <c r="K166" s="46"/>
      <c r="L166" s="48"/>
    </row>
    <row r="167" spans="3:12" ht="15" customHeight="1" x14ac:dyDescent="0.25">
      <c r="C167" s="6"/>
      <c r="D167" s="12"/>
      <c r="E167" s="140"/>
      <c r="F167" s="6"/>
      <c r="G167" s="71"/>
      <c r="J167" s="46"/>
      <c r="K167" s="46"/>
      <c r="L167" s="48"/>
    </row>
    <row r="168" spans="3:12" ht="15" customHeight="1" x14ac:dyDescent="0.25">
      <c r="C168" s="6"/>
      <c r="D168" s="12"/>
      <c r="E168" s="141"/>
      <c r="F168" s="6"/>
      <c r="G168" s="71"/>
      <c r="J168" s="46"/>
      <c r="K168" s="46"/>
      <c r="L168" s="48"/>
    </row>
    <row r="169" spans="3:12" ht="15" customHeight="1" x14ac:dyDescent="0.25">
      <c r="C169" s="6"/>
      <c r="D169" s="12"/>
      <c r="E169" s="28"/>
      <c r="F169" s="6"/>
      <c r="G169" s="71"/>
      <c r="J169" s="46"/>
      <c r="K169" s="46"/>
      <c r="L169" s="48"/>
    </row>
    <row r="170" spans="3:12" ht="15" customHeight="1" x14ac:dyDescent="0.25">
      <c r="D170" s="41"/>
      <c r="E170" s="150"/>
      <c r="F170" s="151"/>
      <c r="G170" s="440"/>
      <c r="H170" s="416"/>
      <c r="J170" s="46"/>
      <c r="K170" s="46"/>
      <c r="L170" s="48"/>
    </row>
    <row r="173" spans="3:12" x14ac:dyDescent="0.25">
      <c r="D173" s="62"/>
      <c r="E173" s="62"/>
      <c r="F173" s="25"/>
      <c r="G173" s="434"/>
    </row>
    <row r="174" spans="3:12" x14ac:dyDescent="0.25">
      <c r="C174" s="62" t="s">
        <v>92</v>
      </c>
      <c r="D174" s="50" t="s">
        <v>101</v>
      </c>
      <c r="E174" s="51" t="s">
        <v>101</v>
      </c>
      <c r="F174" s="50" t="s">
        <v>102</v>
      </c>
      <c r="G174" s="431"/>
      <c r="H174" s="415"/>
    </row>
    <row r="175" spans="3:12" ht="71.25" x14ac:dyDescent="0.25">
      <c r="C175" s="49" t="s">
        <v>70</v>
      </c>
      <c r="D175" s="50" t="s">
        <v>103</v>
      </c>
      <c r="E175" s="51" t="s">
        <v>104</v>
      </c>
      <c r="F175" s="50" t="s">
        <v>105</v>
      </c>
      <c r="G175" s="431"/>
      <c r="H175" s="415"/>
    </row>
    <row r="176" spans="3:12" x14ac:dyDescent="0.25">
      <c r="C176" s="49" t="s">
        <v>71</v>
      </c>
      <c r="D176" s="50">
        <v>152</v>
      </c>
      <c r="E176" s="51">
        <v>152</v>
      </c>
      <c r="F176" s="50" t="s">
        <v>106</v>
      </c>
      <c r="G176" s="431"/>
      <c r="H176" s="415"/>
    </row>
    <row r="177" spans="2:8" x14ac:dyDescent="0.25">
      <c r="C177" s="49" t="s">
        <v>93</v>
      </c>
      <c r="D177" s="52">
        <v>1750</v>
      </c>
      <c r="E177" s="53">
        <v>1750</v>
      </c>
      <c r="F177" s="52">
        <v>1750</v>
      </c>
      <c r="G177" s="441"/>
      <c r="H177" s="415"/>
    </row>
    <row r="178" spans="2:8" s="1" customFormat="1" ht="14.25" x14ac:dyDescent="0.2">
      <c r="B178" s="172"/>
      <c r="C178" s="49" t="s">
        <v>94</v>
      </c>
      <c r="D178" s="32" t="s">
        <v>108</v>
      </c>
      <c r="E178" s="54" t="s">
        <v>109</v>
      </c>
      <c r="F178" s="32" t="s">
        <v>110</v>
      </c>
      <c r="G178" s="441"/>
      <c r="H178" s="415"/>
    </row>
    <row r="179" spans="2:8" s="1" customFormat="1" ht="14.25" x14ac:dyDescent="0.2">
      <c r="B179" s="172"/>
      <c r="C179" s="49" t="s">
        <v>107</v>
      </c>
      <c r="D179" s="56">
        <v>0.55000000000000004</v>
      </c>
      <c r="E179" s="57">
        <v>0.55000000000000004</v>
      </c>
      <c r="F179" s="56">
        <v>0.55000000000000004</v>
      </c>
      <c r="G179" s="442"/>
      <c r="H179" s="417"/>
    </row>
    <row r="180" spans="2:8" s="1" customFormat="1" ht="14.25" x14ac:dyDescent="0.2">
      <c r="B180" s="172"/>
      <c r="C180" s="55" t="s">
        <v>96</v>
      </c>
      <c r="D180" s="50" t="s">
        <v>111</v>
      </c>
      <c r="E180" s="51" t="s">
        <v>111</v>
      </c>
      <c r="F180" s="50" t="s">
        <v>111</v>
      </c>
      <c r="G180" s="431"/>
      <c r="H180" s="415"/>
    </row>
    <row r="181" spans="2:8" s="1" customFormat="1" ht="28.5" x14ac:dyDescent="0.2">
      <c r="B181" s="172"/>
      <c r="C181" s="49" t="s">
        <v>98</v>
      </c>
      <c r="D181" s="60"/>
      <c r="E181" s="61" t="s">
        <v>114</v>
      </c>
      <c r="F181" s="59" t="s">
        <v>113</v>
      </c>
      <c r="G181" s="440"/>
      <c r="H181" s="416"/>
    </row>
    <row r="182" spans="2:8" x14ac:dyDescent="0.25">
      <c r="C182" s="58" t="s">
        <v>112</v>
      </c>
    </row>
    <row r="183" spans="2:8" x14ac:dyDescent="0.25">
      <c r="C183" s="3"/>
    </row>
    <row r="184" spans="2:8" x14ac:dyDescent="0.25">
      <c r="C184" s="3"/>
    </row>
    <row r="185" spans="2:8" x14ac:dyDescent="0.25">
      <c r="C185" s="3"/>
    </row>
    <row r="186" spans="2:8" x14ac:dyDescent="0.25">
      <c r="C186" s="3"/>
    </row>
    <row r="187" spans="2:8" x14ac:dyDescent="0.25">
      <c r="C187" s="3"/>
      <c r="E187" s="1"/>
      <c r="F187" s="1"/>
      <c r="G187" s="71"/>
    </row>
    <row r="188" spans="2:8" x14ac:dyDescent="0.25">
      <c r="C188" s="3"/>
      <c r="E188" s="25"/>
      <c r="F188" s="40"/>
      <c r="G188" s="443"/>
    </row>
    <row r="189" spans="2:8" x14ac:dyDescent="0.25">
      <c r="C189" s="3"/>
      <c r="E189" s="25"/>
      <c r="F189" s="42"/>
      <c r="G189" s="444"/>
    </row>
    <row r="190" spans="2:8" x14ac:dyDescent="0.25">
      <c r="C190" s="3"/>
      <c r="E190" s="25"/>
      <c r="F190" s="42"/>
      <c r="G190" s="444"/>
    </row>
    <row r="191" spans="2:8" x14ac:dyDescent="0.25">
      <c r="C191" s="3"/>
      <c r="E191" s="25"/>
      <c r="F191" s="40"/>
      <c r="G191" s="443"/>
    </row>
    <row r="192" spans="2:8" x14ac:dyDescent="0.25">
      <c r="C192" s="3"/>
      <c r="E192" s="1"/>
    </row>
    <row r="193" spans="3:8" x14ac:dyDescent="0.25">
      <c r="C193" s="3"/>
      <c r="E193" s="25" t="s">
        <v>79</v>
      </c>
    </row>
    <row r="194" spans="3:8" x14ac:dyDescent="0.25">
      <c r="C194" s="29"/>
      <c r="E194" s="39" t="s">
        <v>80</v>
      </c>
      <c r="F194" s="43"/>
      <c r="G194" s="445"/>
      <c r="H194" s="418"/>
    </row>
    <row r="195" spans="3:8" x14ac:dyDescent="0.25">
      <c r="C195" s="29"/>
      <c r="E195" s="41" t="s">
        <v>81</v>
      </c>
      <c r="F195" s="5"/>
    </row>
    <row r="196" spans="3:8" x14ac:dyDescent="0.25">
      <c r="C196" s="29"/>
      <c r="E196" s="39" t="s">
        <v>77</v>
      </c>
      <c r="F196" s="43"/>
      <c r="G196" s="445"/>
      <c r="H196" s="418"/>
    </row>
    <row r="197" spans="3:8" x14ac:dyDescent="0.25">
      <c r="C197" s="29"/>
      <c r="E197" s="39" t="s">
        <v>82</v>
      </c>
      <c r="F197" s="43"/>
      <c r="G197" s="445"/>
      <c r="H197" s="418"/>
    </row>
    <row r="198" spans="3:8" x14ac:dyDescent="0.25">
      <c r="C198" s="29"/>
      <c r="E198" s="1" t="s">
        <v>83</v>
      </c>
    </row>
    <row r="199" spans="3:8" x14ac:dyDescent="0.25">
      <c r="C199" s="29"/>
      <c r="E199" s="1" t="s">
        <v>84</v>
      </c>
    </row>
    <row r="200" spans="3:8" x14ac:dyDescent="0.25">
      <c r="C200" s="29"/>
      <c r="E200" s="1"/>
    </row>
    <row r="201" spans="3:8" x14ac:dyDescent="0.25">
      <c r="C201" s="29"/>
      <c r="E201" s="1"/>
    </row>
    <row r="202" spans="3:8" x14ac:dyDescent="0.25">
      <c r="C202" s="29"/>
      <c r="E202" s="1"/>
    </row>
    <row r="203" spans="3:8" x14ac:dyDescent="0.25">
      <c r="C203" s="29"/>
      <c r="E203" s="25" t="s">
        <v>79</v>
      </c>
    </row>
    <row r="204" spans="3:8" x14ac:dyDescent="0.25">
      <c r="C204" s="29"/>
      <c r="E204" s="39" t="s">
        <v>80</v>
      </c>
      <c r="F204" s="43"/>
      <c r="G204" s="445"/>
      <c r="H204" s="418"/>
    </row>
    <row r="205" spans="3:8" x14ac:dyDescent="0.25">
      <c r="C205" s="29"/>
      <c r="E205" s="41" t="s">
        <v>81</v>
      </c>
      <c r="F205" s="5"/>
    </row>
    <row r="206" spans="3:8" x14ac:dyDescent="0.25">
      <c r="C206" s="29"/>
      <c r="E206" s="39" t="s">
        <v>77</v>
      </c>
      <c r="F206" s="43"/>
      <c r="G206" s="445"/>
      <c r="H206" s="418"/>
    </row>
    <row r="207" spans="3:8" x14ac:dyDescent="0.25">
      <c r="C207" s="29"/>
      <c r="E207" s="39" t="s">
        <v>85</v>
      </c>
      <c r="F207" s="43"/>
      <c r="G207" s="445"/>
      <c r="H207" s="418"/>
    </row>
    <row r="208" spans="3:8" x14ac:dyDescent="0.25">
      <c r="E208" s="1" t="s">
        <v>86</v>
      </c>
    </row>
    <row r="209" spans="4:7" x14ac:dyDescent="0.25">
      <c r="E209" s="1" t="s">
        <v>84</v>
      </c>
    </row>
    <row r="210" spans="4:7" x14ac:dyDescent="0.25">
      <c r="E210" s="1"/>
    </row>
    <row r="211" spans="4:7" x14ac:dyDescent="0.25">
      <c r="E211" s="1"/>
    </row>
    <row r="212" spans="4:7" x14ac:dyDescent="0.25">
      <c r="E212" s="1"/>
    </row>
    <row r="213" spans="4:7" x14ac:dyDescent="0.25">
      <c r="D213" s="6"/>
      <c r="E213" s="1"/>
    </row>
    <row r="214" spans="4:7" x14ac:dyDescent="0.25">
      <c r="D214" s="6"/>
      <c r="E214" s="1"/>
      <c r="F214" s="44"/>
      <c r="G214" s="446"/>
    </row>
  </sheetData>
  <mergeCells count="28">
    <mergeCell ref="C108:F108"/>
    <mergeCell ref="C109:F109"/>
    <mergeCell ref="C103:F103"/>
    <mergeCell ref="C104:F104"/>
    <mergeCell ref="C105:F105"/>
    <mergeCell ref="C102:F102"/>
    <mergeCell ref="C106:F106"/>
    <mergeCell ref="C107:F107"/>
    <mergeCell ref="C100:F100"/>
    <mergeCell ref="C101:F101"/>
    <mergeCell ref="C99:F99"/>
    <mergeCell ref="C93:F93"/>
    <mergeCell ref="C94:F94"/>
    <mergeCell ref="C95:F95"/>
    <mergeCell ref="C40:D40"/>
    <mergeCell ref="C86:D86"/>
    <mergeCell ref="C87:F87"/>
    <mergeCell ref="C88:F88"/>
    <mergeCell ref="C89:F89"/>
    <mergeCell ref="C90:F90"/>
    <mergeCell ref="C91:F91"/>
    <mergeCell ref="C92:F92"/>
    <mergeCell ref="C96:F96"/>
    <mergeCell ref="C25:F25"/>
    <mergeCell ref="C30:C31"/>
    <mergeCell ref="C12:F12"/>
    <mergeCell ref="C97:F97"/>
    <mergeCell ref="C98:F98"/>
  </mergeCells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0BF92-75CE-4689-9321-7FFA71DE080F}">
  <dimension ref="A1:M70"/>
  <sheetViews>
    <sheetView showGridLines="0" zoomScale="75" zoomScaleNormal="75" workbookViewId="0">
      <selection activeCell="A4" sqref="A4"/>
    </sheetView>
  </sheetViews>
  <sheetFormatPr baseColWidth="10" defaultRowHeight="15" x14ac:dyDescent="0.25"/>
  <cols>
    <col min="1" max="1" width="34" customWidth="1"/>
    <col min="2" max="2" width="42.7109375" customWidth="1"/>
    <col min="3" max="3" width="10.42578125" customWidth="1"/>
    <col min="4" max="4" width="15" customWidth="1"/>
    <col min="5" max="5" width="12.42578125" customWidth="1"/>
    <col min="6" max="6" width="8" customWidth="1"/>
    <col min="7" max="7" width="12.85546875" customWidth="1"/>
    <col min="8" max="8" width="13.5703125" customWidth="1"/>
    <col min="9" max="9" width="24.28515625" customWidth="1"/>
    <col min="10" max="10" width="14.85546875" customWidth="1"/>
    <col min="11" max="11" width="7.28515625" customWidth="1"/>
    <col min="12" max="12" width="15" customWidth="1"/>
  </cols>
  <sheetData>
    <row r="1" spans="1:13" ht="33" customHeight="1" x14ac:dyDescent="0.25">
      <c r="A1" s="447" t="s">
        <v>190</v>
      </c>
      <c r="G1" s="306" t="s">
        <v>191</v>
      </c>
      <c r="H1" s="307" t="s">
        <v>194</v>
      </c>
    </row>
    <row r="2" spans="1:13" ht="15.75" x14ac:dyDescent="0.25">
      <c r="B2" s="472"/>
      <c r="C2" s="473" t="s">
        <v>144</v>
      </c>
      <c r="D2" s="94"/>
      <c r="E2" s="94"/>
      <c r="F2" s="94"/>
      <c r="G2" s="169"/>
      <c r="H2" s="169"/>
    </row>
    <row r="3" spans="1:13" x14ac:dyDescent="0.25">
      <c r="B3" s="474" t="s">
        <v>143</v>
      </c>
      <c r="C3" s="475"/>
      <c r="D3" s="476"/>
      <c r="E3" s="477">
        <f>E4+E14+E22+E32+E41</f>
        <v>1.2943576070167033</v>
      </c>
      <c r="F3" s="478" t="s">
        <v>26</v>
      </c>
      <c r="G3" s="495">
        <f>G4+G14+G22+G32+G41</f>
        <v>1.2943576070167033</v>
      </c>
      <c r="H3" s="211">
        <f t="shared" ref="H3:H52" si="0">G3-E3</f>
        <v>0</v>
      </c>
    </row>
    <row r="4" spans="1:13" ht="26.25" customHeight="1" x14ac:dyDescent="0.25">
      <c r="A4" s="321"/>
      <c r="B4" s="479" t="s">
        <v>142</v>
      </c>
      <c r="C4" s="480" t="s">
        <v>172</v>
      </c>
      <c r="D4" s="481"/>
      <c r="E4" s="482">
        <f>E10+E13</f>
        <v>6.2358229520871514E-2</v>
      </c>
      <c r="F4" s="187" t="s">
        <v>26</v>
      </c>
      <c r="G4" s="483">
        <f>G10+G13</f>
        <v>6.2358229520871514E-2</v>
      </c>
      <c r="H4" s="211">
        <f t="shared" si="0"/>
        <v>0</v>
      </c>
    </row>
    <row r="5" spans="1:13" ht="18.75" x14ac:dyDescent="0.35">
      <c r="A5" s="301"/>
      <c r="B5" s="101" t="s">
        <v>139</v>
      </c>
      <c r="C5" s="15" t="s">
        <v>140</v>
      </c>
      <c r="D5" s="15" t="s">
        <v>166</v>
      </c>
      <c r="E5" s="220">
        <v>150</v>
      </c>
      <c r="F5" s="484"/>
      <c r="G5" s="485">
        <v>150</v>
      </c>
      <c r="H5" s="211">
        <f t="shared" si="0"/>
        <v>0</v>
      </c>
    </row>
    <row r="6" spans="1:13" x14ac:dyDescent="0.25">
      <c r="A6" s="301"/>
      <c r="B6" s="311" t="s">
        <v>137</v>
      </c>
      <c r="C6" s="13"/>
      <c r="D6" s="94"/>
      <c r="E6" s="125">
        <f>E16/18</f>
        <v>0.1514603825625</v>
      </c>
      <c r="F6" s="484" t="s">
        <v>21</v>
      </c>
      <c r="G6" s="211">
        <f>G16/18</f>
        <v>0.1514603825625</v>
      </c>
      <c r="H6" s="211">
        <f t="shared" si="0"/>
        <v>0</v>
      </c>
    </row>
    <row r="7" spans="1:13" x14ac:dyDescent="0.25">
      <c r="A7" s="301"/>
      <c r="B7" s="486" t="s">
        <v>63</v>
      </c>
      <c r="C7" s="487"/>
      <c r="D7" s="488"/>
      <c r="E7" s="489">
        <v>0.52</v>
      </c>
      <c r="F7" s="490" t="s">
        <v>8</v>
      </c>
      <c r="G7" s="211">
        <v>0.52</v>
      </c>
      <c r="H7" s="211">
        <f t="shared" si="0"/>
        <v>0</v>
      </c>
    </row>
    <row r="8" spans="1:13" x14ac:dyDescent="0.25">
      <c r="A8" s="301"/>
      <c r="B8" s="491" t="s">
        <v>136</v>
      </c>
      <c r="C8" s="487"/>
      <c r="D8" s="488"/>
      <c r="E8" s="489">
        <v>0.75</v>
      </c>
      <c r="F8" s="492" t="s">
        <v>24</v>
      </c>
      <c r="G8" s="211">
        <v>0.75</v>
      </c>
      <c r="H8" s="211">
        <f t="shared" si="0"/>
        <v>0</v>
      </c>
    </row>
    <row r="9" spans="1:13" x14ac:dyDescent="0.25">
      <c r="A9" s="301"/>
      <c r="B9" s="314" t="s">
        <v>138</v>
      </c>
      <c r="C9" s="122"/>
      <c r="D9" s="94"/>
      <c r="E9" s="123">
        <f>0.001*E6/(0.25*3.14*(0.0254*E8)^2)</f>
        <v>0.53166666666666673</v>
      </c>
      <c r="F9" s="15" t="s">
        <v>5</v>
      </c>
      <c r="G9" s="470">
        <f>0.001*G6/(0.25*3.14*(0.0254*G8)^2)</f>
        <v>0.53166666666666673</v>
      </c>
      <c r="H9" s="211">
        <f t="shared" si="0"/>
        <v>0</v>
      </c>
    </row>
    <row r="10" spans="1:13" x14ac:dyDescent="0.25">
      <c r="A10" s="301" t="s">
        <v>262</v>
      </c>
      <c r="B10" s="315" t="s">
        <v>64</v>
      </c>
      <c r="C10" s="316"/>
      <c r="D10" s="94"/>
      <c r="E10" s="203">
        <f>(10.672*E7*(0.001*E6/E5)^1.852)/(0.0254*E8)^4.871</f>
        <v>1.0439351969851095E-2</v>
      </c>
      <c r="F10" s="493" t="s">
        <v>26</v>
      </c>
      <c r="G10" s="212">
        <f>(10.672*G7*(0.001*G6/G5)^1.852)/(0.0254*G8)^4.871</f>
        <v>1.0439351969851095E-2</v>
      </c>
      <c r="H10" s="211">
        <f t="shared" si="0"/>
        <v>0</v>
      </c>
      <c r="J10" s="71"/>
      <c r="K10" s="71"/>
      <c r="L10" s="92"/>
    </row>
    <row r="11" spans="1:13" x14ac:dyDescent="0.25">
      <c r="A11" s="301"/>
      <c r="B11" s="314" t="s">
        <v>25</v>
      </c>
      <c r="C11" s="122"/>
      <c r="D11" s="94"/>
      <c r="E11" s="123">
        <f>E9^2/19.6</f>
        <v>1.4421910430839005E-2</v>
      </c>
      <c r="F11" s="15" t="s">
        <v>26</v>
      </c>
      <c r="G11" s="470">
        <f>G9^2/19.6</f>
        <v>1.4421910430839005E-2</v>
      </c>
      <c r="H11" s="211">
        <f t="shared" si="0"/>
        <v>0</v>
      </c>
      <c r="J11" s="71"/>
      <c r="K11" s="71"/>
      <c r="L11" s="95"/>
      <c r="M11" s="96"/>
    </row>
    <row r="12" spans="1:13" x14ac:dyDescent="0.25">
      <c r="A12" s="301"/>
      <c r="B12" s="317" t="s">
        <v>100</v>
      </c>
      <c r="C12" s="318" t="s">
        <v>141</v>
      </c>
      <c r="D12" s="319" t="s">
        <v>150</v>
      </c>
      <c r="E12" s="494" t="s">
        <v>172</v>
      </c>
      <c r="F12" s="102"/>
      <c r="G12" s="496" t="s">
        <v>161</v>
      </c>
      <c r="H12" s="211"/>
      <c r="J12" s="71"/>
      <c r="K12" s="71"/>
      <c r="L12" s="97"/>
      <c r="M12" s="98"/>
    </row>
    <row r="13" spans="1:13" x14ac:dyDescent="0.25">
      <c r="A13" s="301" t="s">
        <v>263</v>
      </c>
      <c r="B13" s="101" t="s">
        <v>145</v>
      </c>
      <c r="C13" s="318">
        <v>1.8</v>
      </c>
      <c r="D13" s="319">
        <v>2</v>
      </c>
      <c r="E13" s="125">
        <f>C13*D13*E11</f>
        <v>5.1918877551020419E-2</v>
      </c>
      <c r="F13" s="181" t="s">
        <v>26</v>
      </c>
      <c r="G13" s="211">
        <f>C13*D13*G11</f>
        <v>5.1918877551020419E-2</v>
      </c>
      <c r="H13" s="211">
        <f t="shared" si="0"/>
        <v>0</v>
      </c>
      <c r="J13" s="71"/>
      <c r="K13" s="71"/>
      <c r="L13" s="97"/>
      <c r="M13" s="98"/>
    </row>
    <row r="14" spans="1:13" ht="21" customHeight="1" x14ac:dyDescent="0.25">
      <c r="B14" s="479" t="s">
        <v>146</v>
      </c>
      <c r="C14" s="480" t="s">
        <v>172</v>
      </c>
      <c r="D14" s="481"/>
      <c r="E14" s="482">
        <f>E20</f>
        <v>8.5654941536741733E-2</v>
      </c>
      <c r="F14" s="187" t="s">
        <v>26</v>
      </c>
      <c r="G14" s="483">
        <f>G20</f>
        <v>8.5654941536741733E-2</v>
      </c>
      <c r="H14" s="211">
        <f t="shared" si="0"/>
        <v>0</v>
      </c>
      <c r="J14" s="71"/>
      <c r="K14" s="71"/>
      <c r="L14" s="97"/>
      <c r="M14" s="98"/>
    </row>
    <row r="15" spans="1:13" ht="18.75" x14ac:dyDescent="0.35">
      <c r="A15" s="169"/>
      <c r="B15" s="101" t="s">
        <v>139</v>
      </c>
      <c r="C15" s="15" t="s">
        <v>140</v>
      </c>
      <c r="D15" s="15" t="s">
        <v>166</v>
      </c>
      <c r="E15" s="220">
        <v>150</v>
      </c>
      <c r="F15" s="484"/>
      <c r="G15" s="485">
        <v>150</v>
      </c>
      <c r="H15" s="211">
        <f t="shared" si="0"/>
        <v>0</v>
      </c>
      <c r="J15" s="71"/>
      <c r="K15" s="71"/>
      <c r="L15" s="97"/>
      <c r="M15" s="98"/>
    </row>
    <row r="16" spans="1:13" x14ac:dyDescent="0.25">
      <c r="A16" s="301" t="s">
        <v>381</v>
      </c>
      <c r="B16" s="311" t="s">
        <v>137</v>
      </c>
      <c r="C16" s="13"/>
      <c r="D16" s="94"/>
      <c r="E16" s="125">
        <f>'Parrilla de Aireación'!E24</f>
        <v>2.726286886125</v>
      </c>
      <c r="F16" s="484" t="s">
        <v>21</v>
      </c>
      <c r="G16" s="211">
        <f>'Parrilla de Aireación'!G24</f>
        <v>2.726286886125</v>
      </c>
      <c r="H16" s="211">
        <f t="shared" si="0"/>
        <v>0</v>
      </c>
      <c r="J16" s="71"/>
      <c r="K16" s="71"/>
      <c r="L16" s="97"/>
      <c r="M16" s="98"/>
    </row>
    <row r="17" spans="1:13" x14ac:dyDescent="0.25">
      <c r="A17" s="169"/>
      <c r="B17" s="486" t="s">
        <v>63</v>
      </c>
      <c r="C17" s="487"/>
      <c r="D17" s="488"/>
      <c r="E17" s="489">
        <v>2.4</v>
      </c>
      <c r="F17" s="490" t="s">
        <v>8</v>
      </c>
      <c r="G17" s="211">
        <v>2.4</v>
      </c>
      <c r="H17" s="211">
        <f t="shared" si="0"/>
        <v>0</v>
      </c>
      <c r="J17" s="71"/>
      <c r="K17" s="71"/>
      <c r="L17" s="97"/>
      <c r="M17" s="98"/>
    </row>
    <row r="18" spans="1:13" x14ac:dyDescent="0.25">
      <c r="A18" s="169"/>
      <c r="B18" s="491" t="s">
        <v>136</v>
      </c>
      <c r="C18" s="487"/>
      <c r="D18" s="488"/>
      <c r="E18" s="489">
        <v>2</v>
      </c>
      <c r="F18" s="492" t="s">
        <v>24</v>
      </c>
      <c r="G18" s="211">
        <v>2</v>
      </c>
      <c r="H18" s="211">
        <f t="shared" si="0"/>
        <v>0</v>
      </c>
      <c r="J18" s="71"/>
      <c r="K18" s="71"/>
      <c r="L18" s="97"/>
      <c r="M18" s="98"/>
    </row>
    <row r="19" spans="1:13" x14ac:dyDescent="0.25">
      <c r="A19" s="169"/>
      <c r="B19" s="314" t="s">
        <v>138</v>
      </c>
      <c r="C19" s="122"/>
      <c r="D19" s="94"/>
      <c r="E19" s="123">
        <f>0.001*E16/(0.25*3.14*(0.0254*E18)^2)</f>
        <v>1.3457812500000002</v>
      </c>
      <c r="F19" s="15" t="s">
        <v>5</v>
      </c>
      <c r="G19" s="470">
        <f>0.001*G16/(0.25*3.14*(0.0254*G18)^2)</f>
        <v>1.3457812500000002</v>
      </c>
      <c r="H19" s="211">
        <f t="shared" si="0"/>
        <v>0</v>
      </c>
      <c r="J19" s="71"/>
      <c r="K19" s="71"/>
      <c r="L19" s="97"/>
      <c r="M19" s="98"/>
    </row>
    <row r="20" spans="1:13" x14ac:dyDescent="0.25">
      <c r="A20" s="301" t="s">
        <v>262</v>
      </c>
      <c r="B20" s="315" t="s">
        <v>64</v>
      </c>
      <c r="C20" s="316"/>
      <c r="D20" s="94"/>
      <c r="E20" s="203">
        <f>(10.672*E17*(0.001*E16/E15)^1.852)/(0.0254*E18)^4.871</f>
        <v>8.5654941536741733E-2</v>
      </c>
      <c r="F20" s="493" t="s">
        <v>26</v>
      </c>
      <c r="G20" s="212">
        <f>(10.672*G17*(0.001*G16/G15)^1.852)/(0.0254*G18)^4.871</f>
        <v>8.5654941536741733E-2</v>
      </c>
      <c r="H20" s="211">
        <f t="shared" si="0"/>
        <v>0</v>
      </c>
      <c r="J20" s="71"/>
      <c r="K20" s="71"/>
      <c r="L20" s="97"/>
      <c r="M20" s="98"/>
    </row>
    <row r="21" spans="1:13" x14ac:dyDescent="0.25">
      <c r="A21" s="169"/>
      <c r="B21" s="314" t="s">
        <v>25</v>
      </c>
      <c r="C21" s="122"/>
      <c r="D21" s="94"/>
      <c r="E21" s="123">
        <f>E19^2/19.6</f>
        <v>9.240444759446749E-2</v>
      </c>
      <c r="F21" s="15" t="s">
        <v>26</v>
      </c>
      <c r="G21" s="470">
        <f>G19^2/19.6</f>
        <v>9.240444759446749E-2</v>
      </c>
      <c r="H21" s="211">
        <f t="shared" si="0"/>
        <v>0</v>
      </c>
      <c r="J21" s="71"/>
      <c r="K21" s="71"/>
      <c r="L21" s="97"/>
      <c r="M21" s="98"/>
    </row>
    <row r="22" spans="1:13" ht="29.25" customHeight="1" x14ac:dyDescent="0.25">
      <c r="B22" s="479" t="s">
        <v>147</v>
      </c>
      <c r="C22" s="480" t="s">
        <v>172</v>
      </c>
      <c r="D22" s="481"/>
      <c r="E22" s="482">
        <f>E28+E31</f>
        <v>0.14034566866073378</v>
      </c>
      <c r="F22" s="187" t="s">
        <v>26</v>
      </c>
      <c r="G22" s="483">
        <f>G28+G31</f>
        <v>0.14034566866073378</v>
      </c>
      <c r="H22" s="211">
        <f t="shared" si="0"/>
        <v>0</v>
      </c>
      <c r="J22" s="71"/>
      <c r="K22" s="71"/>
      <c r="L22" s="97"/>
      <c r="M22" s="98"/>
    </row>
    <row r="23" spans="1:13" ht="18.75" x14ac:dyDescent="0.35">
      <c r="A23" s="169"/>
      <c r="B23" s="101" t="s">
        <v>139</v>
      </c>
      <c r="C23" s="15" t="s">
        <v>148</v>
      </c>
      <c r="D23" s="15" t="s">
        <v>166</v>
      </c>
      <c r="E23" s="220">
        <v>150</v>
      </c>
      <c r="F23" s="484"/>
      <c r="G23" s="485">
        <v>150</v>
      </c>
      <c r="H23" s="211">
        <f t="shared" si="0"/>
        <v>0</v>
      </c>
      <c r="J23" s="71"/>
      <c r="K23" s="71"/>
      <c r="L23" s="97"/>
      <c r="M23" s="98"/>
    </row>
    <row r="24" spans="1:13" x14ac:dyDescent="0.25">
      <c r="A24" s="169"/>
      <c r="B24" s="311" t="s">
        <v>137</v>
      </c>
      <c r="C24" s="13"/>
      <c r="D24" s="94"/>
      <c r="E24" s="125">
        <f>E16</f>
        <v>2.726286886125</v>
      </c>
      <c r="F24" s="484" t="s">
        <v>21</v>
      </c>
      <c r="G24" s="211">
        <f>G16</f>
        <v>2.726286886125</v>
      </c>
      <c r="H24" s="211">
        <f t="shared" si="0"/>
        <v>0</v>
      </c>
      <c r="J24" s="71"/>
      <c r="K24" s="71"/>
      <c r="L24" s="97"/>
      <c r="M24" s="98"/>
    </row>
    <row r="25" spans="1:13" x14ac:dyDescent="0.25">
      <c r="A25" s="169"/>
      <c r="B25" s="486" t="s">
        <v>63</v>
      </c>
      <c r="C25" s="487"/>
      <c r="D25" s="488"/>
      <c r="E25" s="489">
        <v>6</v>
      </c>
      <c r="F25" s="490" t="s">
        <v>8</v>
      </c>
      <c r="G25" s="211">
        <v>6</v>
      </c>
      <c r="H25" s="211">
        <f t="shared" si="0"/>
        <v>0</v>
      </c>
      <c r="J25" s="71"/>
      <c r="K25" s="71"/>
      <c r="L25" s="97"/>
      <c r="M25" s="98"/>
    </row>
    <row r="26" spans="1:13" x14ac:dyDescent="0.25">
      <c r="A26" s="169"/>
      <c r="B26" s="491" t="s">
        <v>136</v>
      </c>
      <c r="C26" s="487"/>
      <c r="D26" s="488"/>
      <c r="E26" s="489">
        <v>2.5</v>
      </c>
      <c r="F26" s="492" t="s">
        <v>24</v>
      </c>
      <c r="G26" s="211">
        <v>2.5</v>
      </c>
      <c r="H26" s="211">
        <f t="shared" si="0"/>
        <v>0</v>
      </c>
      <c r="J26" s="71"/>
      <c r="K26" s="71"/>
      <c r="L26" s="97"/>
      <c r="M26" s="98"/>
    </row>
    <row r="27" spans="1:13" x14ac:dyDescent="0.25">
      <c r="A27" s="169"/>
      <c r="B27" s="314" t="s">
        <v>138</v>
      </c>
      <c r="C27" s="122"/>
      <c r="D27" s="94"/>
      <c r="E27" s="123">
        <f>0.001*E24/(0.25*3.14*(0.0254*E26)^2)</f>
        <v>0.86129999999999995</v>
      </c>
      <c r="F27" s="15" t="s">
        <v>5</v>
      </c>
      <c r="G27" s="470">
        <f>0.001*G24/(0.25*3.14*(0.0254*G26)^2)</f>
        <v>0.86129999999999995</v>
      </c>
      <c r="H27" s="211">
        <f t="shared" si="0"/>
        <v>0</v>
      </c>
      <c r="J27" s="71"/>
      <c r="K27" s="71"/>
      <c r="L27" s="97"/>
      <c r="M27" s="98"/>
    </row>
    <row r="28" spans="1:13" x14ac:dyDescent="0.25">
      <c r="A28" s="301" t="s">
        <v>262</v>
      </c>
      <c r="B28" s="315" t="s">
        <v>64</v>
      </c>
      <c r="C28" s="316"/>
      <c r="D28" s="94"/>
      <c r="E28" s="203">
        <f>(10.672*E25*(0.001*E24/E23)^1.852)/(0.0254*E26)^4.871</f>
        <v>7.221771753828482E-2</v>
      </c>
      <c r="F28" s="493" t="s">
        <v>26</v>
      </c>
      <c r="G28" s="212">
        <f>(10.672*G25*(0.001*G24/G23)^1.852)/(0.0254*G26)^4.871</f>
        <v>7.221771753828482E-2</v>
      </c>
      <c r="H28" s="211">
        <f t="shared" si="0"/>
        <v>0</v>
      </c>
      <c r="J28" s="71"/>
      <c r="K28" s="71"/>
      <c r="L28" s="97"/>
      <c r="M28" s="98"/>
    </row>
    <row r="29" spans="1:13" x14ac:dyDescent="0.25">
      <c r="A29" s="169"/>
      <c r="B29" s="314" t="s">
        <v>25</v>
      </c>
      <c r="C29" s="122"/>
      <c r="D29" s="94"/>
      <c r="E29" s="123">
        <f>E27^2/19.6</f>
        <v>3.7848861734693866E-2</v>
      </c>
      <c r="F29" s="15" t="s">
        <v>26</v>
      </c>
      <c r="G29" s="470">
        <f>G27^2/19.6</f>
        <v>3.7848861734693866E-2</v>
      </c>
      <c r="H29" s="211">
        <f t="shared" si="0"/>
        <v>0</v>
      </c>
      <c r="J29" s="71"/>
      <c r="K29" s="71"/>
      <c r="L29" s="97"/>
      <c r="M29" s="98"/>
    </row>
    <row r="30" spans="1:13" x14ac:dyDescent="0.25">
      <c r="B30" s="317" t="s">
        <v>100</v>
      </c>
      <c r="C30" s="318" t="s">
        <v>141</v>
      </c>
      <c r="D30" s="319" t="s">
        <v>150</v>
      </c>
      <c r="E30" s="494" t="s">
        <v>172</v>
      </c>
      <c r="F30" s="102"/>
      <c r="G30" s="496" t="s">
        <v>161</v>
      </c>
      <c r="H30" s="211"/>
    </row>
    <row r="31" spans="1:13" x14ac:dyDescent="0.25">
      <c r="A31" s="301" t="s">
        <v>263</v>
      </c>
      <c r="B31" s="101" t="s">
        <v>66</v>
      </c>
      <c r="C31" s="318">
        <v>1.8</v>
      </c>
      <c r="D31" s="319">
        <v>1</v>
      </c>
      <c r="E31" s="125">
        <f>C31*D31*E29</f>
        <v>6.812795112244896E-2</v>
      </c>
      <c r="F31" s="181" t="s">
        <v>26</v>
      </c>
      <c r="G31" s="211">
        <f>C31*D31*G29</f>
        <v>6.812795112244896E-2</v>
      </c>
      <c r="H31" s="211">
        <f t="shared" si="0"/>
        <v>0</v>
      </c>
    </row>
    <row r="32" spans="1:13" ht="26.25" customHeight="1" x14ac:dyDescent="0.25">
      <c r="B32" s="479" t="s">
        <v>149</v>
      </c>
      <c r="C32" s="480" t="s">
        <v>172</v>
      </c>
      <c r="D32" s="481"/>
      <c r="E32" s="482">
        <f>E39+SUM(E39:E40)</f>
        <v>9.0094336404605818E-2</v>
      </c>
      <c r="F32" s="187" t="s">
        <v>26</v>
      </c>
      <c r="G32" s="483">
        <f>G39+SUM(G39:G40)</f>
        <v>9.0094336404605818E-2</v>
      </c>
      <c r="H32" s="211">
        <f t="shared" si="0"/>
        <v>0</v>
      </c>
    </row>
    <row r="33" spans="1:8" ht="18.75" x14ac:dyDescent="0.35">
      <c r="A33" s="169"/>
      <c r="B33" s="101" t="s">
        <v>139</v>
      </c>
      <c r="C33" s="15" t="s">
        <v>140</v>
      </c>
      <c r="D33" s="15" t="s">
        <v>166</v>
      </c>
      <c r="E33" s="220">
        <v>150</v>
      </c>
      <c r="F33" s="484"/>
      <c r="G33" s="485">
        <v>150</v>
      </c>
      <c r="H33" s="211">
        <f t="shared" si="0"/>
        <v>0</v>
      </c>
    </row>
    <row r="34" spans="1:8" x14ac:dyDescent="0.25">
      <c r="A34" s="169"/>
      <c r="B34" s="311" t="s">
        <v>137</v>
      </c>
      <c r="C34" s="13"/>
      <c r="D34" s="94"/>
      <c r="E34" s="125">
        <f>2*E24</f>
        <v>5.4525737722500001</v>
      </c>
      <c r="F34" s="484" t="s">
        <v>21</v>
      </c>
      <c r="G34" s="211">
        <f>2*G24</f>
        <v>5.4525737722500001</v>
      </c>
      <c r="H34" s="211">
        <f t="shared" si="0"/>
        <v>0</v>
      </c>
    </row>
    <row r="35" spans="1:8" x14ac:dyDescent="0.25">
      <c r="A35" s="169"/>
      <c r="B35" s="486" t="s">
        <v>136</v>
      </c>
      <c r="C35" s="487"/>
      <c r="D35" s="488"/>
      <c r="E35" s="489">
        <v>4</v>
      </c>
      <c r="F35" s="490" t="s">
        <v>24</v>
      </c>
      <c r="G35" s="211">
        <v>4</v>
      </c>
      <c r="H35" s="211">
        <f t="shared" si="0"/>
        <v>0</v>
      </c>
    </row>
    <row r="36" spans="1:8" x14ac:dyDescent="0.25">
      <c r="A36" s="169"/>
      <c r="B36" s="275" t="s">
        <v>138</v>
      </c>
      <c r="C36" s="13"/>
      <c r="D36" s="94"/>
      <c r="E36" s="125">
        <f>0.001*E34/(0.25*3.14*(0.0254*E35)^2)</f>
        <v>0.67289062500000008</v>
      </c>
      <c r="F36" s="22" t="s">
        <v>5</v>
      </c>
      <c r="G36" s="211">
        <f>0.001*G34/(0.25*3.14*(0.0254*G35)^2)</f>
        <v>0.67289062500000008</v>
      </c>
      <c r="H36" s="211">
        <f t="shared" si="0"/>
        <v>0</v>
      </c>
    </row>
    <row r="37" spans="1:8" ht="15.95" customHeight="1" x14ac:dyDescent="0.25">
      <c r="A37" s="169"/>
      <c r="B37" s="314" t="s">
        <v>25</v>
      </c>
      <c r="C37" s="122"/>
      <c r="D37" s="94"/>
      <c r="E37" s="123">
        <f>E36^2/19.6</f>
        <v>2.3101111898616872E-2</v>
      </c>
      <c r="F37" s="15" t="s">
        <v>26</v>
      </c>
      <c r="G37" s="470">
        <f>G36^2/19.6</f>
        <v>2.3101111898616872E-2</v>
      </c>
      <c r="H37" s="211">
        <f t="shared" si="0"/>
        <v>0</v>
      </c>
    </row>
    <row r="38" spans="1:8" ht="15.75" customHeight="1" x14ac:dyDescent="0.25">
      <c r="B38" s="320" t="s">
        <v>100</v>
      </c>
      <c r="C38" s="318" t="s">
        <v>141</v>
      </c>
      <c r="D38" s="319" t="s">
        <v>150</v>
      </c>
      <c r="E38" s="494" t="s">
        <v>172</v>
      </c>
      <c r="F38" s="102"/>
      <c r="G38" s="496" t="s">
        <v>161</v>
      </c>
      <c r="H38" s="211"/>
    </row>
    <row r="39" spans="1:8" ht="15.95" customHeight="1" x14ac:dyDescent="0.25">
      <c r="A39" s="301" t="s">
        <v>263</v>
      </c>
      <c r="B39" s="101" t="s">
        <v>145</v>
      </c>
      <c r="C39" s="318">
        <v>1.8</v>
      </c>
      <c r="D39" s="319">
        <v>1</v>
      </c>
      <c r="E39" s="125">
        <f>C39*D39*E37</f>
        <v>4.1582001417510374E-2</v>
      </c>
      <c r="F39" s="181" t="s">
        <v>26</v>
      </c>
      <c r="G39" s="211">
        <f>C39*D39*$G$37</f>
        <v>4.1582001417510374E-2</v>
      </c>
      <c r="H39" s="211">
        <f t="shared" si="0"/>
        <v>0</v>
      </c>
    </row>
    <row r="40" spans="1:8" ht="15.95" customHeight="1" x14ac:dyDescent="0.25">
      <c r="A40" s="301" t="s">
        <v>263</v>
      </c>
      <c r="B40" s="101" t="s">
        <v>65</v>
      </c>
      <c r="C40" s="318">
        <v>0.3</v>
      </c>
      <c r="D40" s="319">
        <v>1</v>
      </c>
      <c r="E40" s="125">
        <f>C40*D40*E37</f>
        <v>6.9303335695850617E-3</v>
      </c>
      <c r="F40" s="181" t="s">
        <v>26</v>
      </c>
      <c r="G40" s="211">
        <f>C40*D40*$G$37</f>
        <v>6.9303335695850617E-3</v>
      </c>
      <c r="H40" s="211">
        <f t="shared" si="0"/>
        <v>0</v>
      </c>
    </row>
    <row r="41" spans="1:8" ht="28.5" customHeight="1" x14ac:dyDescent="0.25">
      <c r="B41" s="479" t="s">
        <v>151</v>
      </c>
      <c r="C41" s="480" t="s">
        <v>172</v>
      </c>
      <c r="D41" s="481"/>
      <c r="E41" s="482">
        <f>E47+SUM(E50:E52)</f>
        <v>0.9159044308937504</v>
      </c>
      <c r="F41" s="187" t="s">
        <v>26</v>
      </c>
      <c r="G41" s="483">
        <f>G47+SUM(G50:G52)</f>
        <v>0.9159044308937504</v>
      </c>
      <c r="H41" s="211">
        <f t="shared" si="0"/>
        <v>0</v>
      </c>
    </row>
    <row r="42" spans="1:8" ht="15.95" customHeight="1" x14ac:dyDescent="0.35">
      <c r="A42" s="169"/>
      <c r="B42" s="101" t="s">
        <v>139</v>
      </c>
      <c r="C42" s="15" t="s">
        <v>140</v>
      </c>
      <c r="D42" s="15" t="s">
        <v>166</v>
      </c>
      <c r="E42" s="220">
        <v>150</v>
      </c>
      <c r="F42" s="484"/>
      <c r="G42" s="485">
        <v>150</v>
      </c>
      <c r="H42" s="211">
        <f t="shared" si="0"/>
        <v>0</v>
      </c>
    </row>
    <row r="43" spans="1:8" ht="15.95" customHeight="1" x14ac:dyDescent="0.25">
      <c r="A43" s="169"/>
      <c r="B43" s="311" t="s">
        <v>137</v>
      </c>
      <c r="C43" s="13"/>
      <c r="D43" s="94"/>
      <c r="E43" s="125">
        <f>E16*6</f>
        <v>16.357721316750002</v>
      </c>
      <c r="F43" s="484" t="s">
        <v>21</v>
      </c>
      <c r="G43" s="211">
        <f>G16*6</f>
        <v>16.357721316750002</v>
      </c>
      <c r="H43" s="211">
        <f t="shared" si="0"/>
        <v>0</v>
      </c>
    </row>
    <row r="44" spans="1:8" ht="15.95" customHeight="1" x14ac:dyDescent="0.25">
      <c r="A44" s="169"/>
      <c r="B44" s="486" t="s">
        <v>63</v>
      </c>
      <c r="C44" s="487"/>
      <c r="D44" s="488"/>
      <c r="E44" s="489">
        <v>0.65</v>
      </c>
      <c r="F44" s="490" t="s">
        <v>8</v>
      </c>
      <c r="G44" s="211">
        <v>0.65</v>
      </c>
      <c r="H44" s="211">
        <f t="shared" si="0"/>
        <v>0</v>
      </c>
    </row>
    <row r="45" spans="1:8" ht="15.95" customHeight="1" x14ac:dyDescent="0.25">
      <c r="A45" s="169"/>
      <c r="B45" s="491" t="s">
        <v>136</v>
      </c>
      <c r="C45" s="487"/>
      <c r="D45" s="488"/>
      <c r="E45" s="489">
        <v>4</v>
      </c>
      <c r="F45" s="492" t="s">
        <v>24</v>
      </c>
      <c r="G45" s="211">
        <v>4</v>
      </c>
      <c r="H45" s="211">
        <f t="shared" si="0"/>
        <v>0</v>
      </c>
    </row>
    <row r="46" spans="1:8" ht="15.95" customHeight="1" x14ac:dyDescent="0.25">
      <c r="A46" s="169"/>
      <c r="B46" s="314" t="s">
        <v>138</v>
      </c>
      <c r="C46" s="122"/>
      <c r="D46" s="94"/>
      <c r="E46" s="123">
        <f>0.001*E43/(0.25*3.14*(0.0254*E45)^2)</f>
        <v>2.0186718750000003</v>
      </c>
      <c r="F46" s="15" t="s">
        <v>5</v>
      </c>
      <c r="G46" s="470">
        <f>0.001*G43/(0.25*3.14*(0.0254*G45)^2)</f>
        <v>2.0186718750000003</v>
      </c>
      <c r="H46" s="211">
        <f t="shared" si="0"/>
        <v>0</v>
      </c>
    </row>
    <row r="47" spans="1:8" ht="15.95" customHeight="1" x14ac:dyDescent="0.25">
      <c r="A47" s="301" t="s">
        <v>262</v>
      </c>
      <c r="B47" s="315" t="s">
        <v>154</v>
      </c>
      <c r="C47" s="316"/>
      <c r="D47" s="94"/>
      <c r="E47" s="203">
        <f>(10.672*E44*(0.001*E43/E42)^1.852)/(0.0254*E45)^4.871</f>
        <v>2.1891400417277253E-2</v>
      </c>
      <c r="F47" s="493" t="s">
        <v>26</v>
      </c>
      <c r="G47" s="212">
        <f>(10.672*G44*(0.001*G43/G42)^1.852)/(0.0254*G45)^4.871</f>
        <v>2.1891400417277253E-2</v>
      </c>
      <c r="H47" s="211">
        <f t="shared" si="0"/>
        <v>0</v>
      </c>
    </row>
    <row r="48" spans="1:8" ht="15.95" customHeight="1" x14ac:dyDescent="0.25">
      <c r="A48" s="169"/>
      <c r="B48" s="314" t="s">
        <v>25</v>
      </c>
      <c r="C48" s="122"/>
      <c r="D48" s="94"/>
      <c r="E48" s="123">
        <f>E46^2/19.6</f>
        <v>0.20791000708755189</v>
      </c>
      <c r="F48" s="15" t="s">
        <v>26</v>
      </c>
      <c r="G48" s="470">
        <f>G46^2/19.6</f>
        <v>0.20791000708755189</v>
      </c>
      <c r="H48" s="211">
        <f t="shared" si="0"/>
        <v>0</v>
      </c>
    </row>
    <row r="49" spans="1:8" ht="18" customHeight="1" x14ac:dyDescent="0.25">
      <c r="B49" s="317" t="s">
        <v>100</v>
      </c>
      <c r="C49" s="318" t="s">
        <v>141</v>
      </c>
      <c r="D49" s="319" t="s">
        <v>150</v>
      </c>
      <c r="E49" s="494" t="s">
        <v>172</v>
      </c>
      <c r="F49" s="102"/>
      <c r="G49" s="310" t="s">
        <v>161</v>
      </c>
      <c r="H49" s="211"/>
    </row>
    <row r="50" spans="1:8" ht="15.95" customHeight="1" x14ac:dyDescent="0.25">
      <c r="A50" s="301" t="s">
        <v>263</v>
      </c>
      <c r="B50" s="101" t="s">
        <v>153</v>
      </c>
      <c r="C50" s="318">
        <v>0.9</v>
      </c>
      <c r="D50" s="319">
        <v>1</v>
      </c>
      <c r="E50" s="125">
        <f>C50*D50*E48</f>
        <v>0.18711900637879669</v>
      </c>
      <c r="F50" s="15" t="s">
        <v>26</v>
      </c>
      <c r="G50" s="211">
        <f>C50*D50*$G$48</f>
        <v>0.18711900637879669</v>
      </c>
      <c r="H50" s="211">
        <f t="shared" si="0"/>
        <v>0</v>
      </c>
    </row>
    <row r="51" spans="1:8" ht="15.95" customHeight="1" x14ac:dyDescent="0.25">
      <c r="A51" s="301" t="s">
        <v>263</v>
      </c>
      <c r="B51" s="101" t="s">
        <v>145</v>
      </c>
      <c r="C51" s="318">
        <v>1.8</v>
      </c>
      <c r="D51" s="319">
        <v>1</v>
      </c>
      <c r="E51" s="125">
        <f>C51*D51*E48</f>
        <v>0.37423801275759339</v>
      </c>
      <c r="F51" s="15" t="s">
        <v>26</v>
      </c>
      <c r="G51" s="211">
        <f t="shared" ref="G51:G52" si="1">C51*D51*$G$48</f>
        <v>0.37423801275759339</v>
      </c>
      <c r="H51" s="211">
        <f t="shared" si="0"/>
        <v>0</v>
      </c>
    </row>
    <row r="52" spans="1:8" ht="15.95" customHeight="1" x14ac:dyDescent="0.25">
      <c r="A52" s="301" t="s">
        <v>264</v>
      </c>
      <c r="B52" s="101" t="s">
        <v>155</v>
      </c>
      <c r="C52" s="318">
        <v>1.6</v>
      </c>
      <c r="D52" s="319">
        <v>1</v>
      </c>
      <c r="E52" s="125">
        <f>C52*D52*E48</f>
        <v>0.33265601134008305</v>
      </c>
      <c r="F52" s="15" t="s">
        <v>26</v>
      </c>
      <c r="G52" s="211">
        <f t="shared" si="1"/>
        <v>0.33265601134008305</v>
      </c>
      <c r="H52" s="211">
        <f t="shared" si="0"/>
        <v>0</v>
      </c>
    </row>
    <row r="53" spans="1:8" ht="18" customHeight="1" x14ac:dyDescent="0.25">
      <c r="F53" s="102"/>
      <c r="G53" s="102"/>
    </row>
    <row r="54" spans="1:8" ht="15.95" customHeight="1" x14ac:dyDescent="0.25"/>
    <row r="55" spans="1:8" ht="15.95" customHeight="1" x14ac:dyDescent="0.25"/>
    <row r="56" spans="1:8" ht="15.95" customHeight="1" x14ac:dyDescent="0.25"/>
    <row r="57" spans="1:8" ht="15.95" customHeight="1" x14ac:dyDescent="0.25"/>
    <row r="58" spans="1:8" ht="15.95" customHeight="1" x14ac:dyDescent="0.25"/>
    <row r="59" spans="1:8" ht="15.95" customHeight="1" x14ac:dyDescent="0.25"/>
    <row r="60" spans="1:8" ht="15.95" customHeight="1" x14ac:dyDescent="0.25"/>
    <row r="61" spans="1:8" ht="15.95" customHeight="1" x14ac:dyDescent="0.25"/>
    <row r="62" spans="1:8" ht="15.95" customHeight="1" x14ac:dyDescent="0.25"/>
    <row r="63" spans="1:8" ht="15.95" customHeight="1" x14ac:dyDescent="0.25"/>
    <row r="64" spans="1:8" ht="15.95" customHeight="1" x14ac:dyDescent="0.25"/>
    <row r="65" ht="15.95" customHeight="1" x14ac:dyDescent="0.25"/>
    <row r="66" ht="15.95" customHeight="1" x14ac:dyDescent="0.25"/>
    <row r="67" ht="15.75" customHeight="1" x14ac:dyDescent="0.25"/>
    <row r="68" ht="15.95" customHeight="1" x14ac:dyDescent="0.25"/>
    <row r="69" ht="15.95" customHeight="1" x14ac:dyDescent="0.25"/>
    <row r="70" ht="15.95" customHeight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121A8-9E2A-4DA3-953D-00EFA3458641}">
  <dimension ref="A1:I43"/>
  <sheetViews>
    <sheetView showGridLines="0" zoomScale="75" zoomScaleNormal="75" workbookViewId="0">
      <selection activeCell="I27" sqref="I27"/>
    </sheetView>
  </sheetViews>
  <sheetFormatPr baseColWidth="10" defaultRowHeight="15" x14ac:dyDescent="0.25"/>
  <cols>
    <col min="1" max="1" width="26.42578125" customWidth="1"/>
    <col min="2" max="2" width="23.85546875" customWidth="1"/>
    <col min="3" max="3" width="33.28515625" customWidth="1"/>
    <col min="4" max="4" width="10.7109375" customWidth="1"/>
    <col min="5" max="5" width="10.140625" customWidth="1"/>
    <col min="6" max="6" width="13.7109375" customWidth="1"/>
    <col min="7" max="7" width="16" customWidth="1"/>
  </cols>
  <sheetData>
    <row r="1" spans="1:9" ht="31.5" x14ac:dyDescent="0.25">
      <c r="A1" s="447" t="s">
        <v>190</v>
      </c>
      <c r="F1" s="306" t="s">
        <v>191</v>
      </c>
      <c r="G1" s="307" t="s">
        <v>194</v>
      </c>
    </row>
    <row r="2" spans="1:9" x14ac:dyDescent="0.25">
      <c r="A2" s="169"/>
      <c r="B2" s="622" t="s">
        <v>152</v>
      </c>
      <c r="C2" s="623"/>
      <c r="D2" s="623"/>
      <c r="E2" s="624"/>
      <c r="F2" s="449"/>
      <c r="G2" s="211"/>
    </row>
    <row r="3" spans="1:9" x14ac:dyDescent="0.25">
      <c r="A3" s="169"/>
      <c r="B3" s="450" t="s">
        <v>244</v>
      </c>
      <c r="C3" s="450"/>
      <c r="D3" s="451">
        <f>D12+D16/100</f>
        <v>0.51608758290202961</v>
      </c>
      <c r="E3" s="452" t="s">
        <v>26</v>
      </c>
      <c r="F3" s="459">
        <f>F12+F16/100</f>
        <v>0.51608758290202961</v>
      </c>
      <c r="G3" s="463">
        <f>F3-D3</f>
        <v>0</v>
      </c>
    </row>
    <row r="4" spans="1:9" x14ac:dyDescent="0.25">
      <c r="A4" s="169"/>
      <c r="B4" s="15" t="s">
        <v>139</v>
      </c>
      <c r="C4" s="15" t="s">
        <v>380</v>
      </c>
      <c r="D4" s="154">
        <v>60</v>
      </c>
      <c r="E4" s="448"/>
      <c r="F4" s="449">
        <v>60</v>
      </c>
      <c r="G4" s="463">
        <f t="shared" ref="G4:G16" si="0">F4-D4</f>
        <v>0</v>
      </c>
    </row>
    <row r="5" spans="1:9" x14ac:dyDescent="0.25">
      <c r="A5" s="301" t="s">
        <v>381</v>
      </c>
      <c r="B5" s="15" t="s">
        <v>167</v>
      </c>
      <c r="C5" s="15"/>
      <c r="D5" s="218">
        <f>'Parrilla de Aireación'!F62/2</f>
        <v>8.178860658375001</v>
      </c>
      <c r="E5" s="111" t="s">
        <v>21</v>
      </c>
      <c r="F5" s="467">
        <f>'Parrilla de Aireación'!F62/2</f>
        <v>8.178860658375001</v>
      </c>
      <c r="G5" s="463">
        <f t="shared" si="0"/>
        <v>0</v>
      </c>
    </row>
    <row r="6" spans="1:9" x14ac:dyDescent="0.25">
      <c r="A6" s="169"/>
      <c r="B6" s="15" t="s">
        <v>136</v>
      </c>
      <c r="C6" s="15"/>
      <c r="D6" s="154">
        <v>100</v>
      </c>
      <c r="E6" s="111" t="s">
        <v>15</v>
      </c>
      <c r="F6" s="468">
        <v>100</v>
      </c>
      <c r="G6" s="463">
        <f t="shared" si="0"/>
        <v>0</v>
      </c>
    </row>
    <row r="7" spans="1:9" x14ac:dyDescent="0.25">
      <c r="A7" s="169"/>
      <c r="B7" s="453" t="s">
        <v>159</v>
      </c>
      <c r="C7" s="13"/>
      <c r="D7" s="218">
        <f>D6/2</f>
        <v>50</v>
      </c>
      <c r="E7" s="312" t="s">
        <v>8</v>
      </c>
      <c r="F7" s="469">
        <f>F6/2</f>
        <v>50</v>
      </c>
      <c r="G7" s="463">
        <f t="shared" si="0"/>
        <v>0</v>
      </c>
    </row>
    <row r="8" spans="1:9" x14ac:dyDescent="0.25">
      <c r="A8" s="169"/>
      <c r="B8" s="454" t="s">
        <v>160</v>
      </c>
      <c r="C8" s="14"/>
      <c r="D8" s="507">
        <f>D7/2</f>
        <v>25</v>
      </c>
      <c r="E8" s="31" t="s">
        <v>8</v>
      </c>
      <c r="F8" s="449">
        <f>F7/2</f>
        <v>25</v>
      </c>
      <c r="G8" s="463">
        <f t="shared" si="0"/>
        <v>0</v>
      </c>
    </row>
    <row r="9" spans="1:9" x14ac:dyDescent="0.25">
      <c r="A9" s="169"/>
      <c r="B9" s="455" t="s">
        <v>158</v>
      </c>
      <c r="C9" s="14"/>
      <c r="D9" s="100">
        <v>25</v>
      </c>
      <c r="E9" s="7"/>
      <c r="F9" s="449">
        <v>25</v>
      </c>
      <c r="G9" s="463">
        <f t="shared" si="0"/>
        <v>0</v>
      </c>
    </row>
    <row r="10" spans="1:9" x14ac:dyDescent="0.25">
      <c r="A10" s="169"/>
      <c r="B10" s="456" t="s">
        <v>157</v>
      </c>
      <c r="C10" s="110"/>
      <c r="D10" s="471">
        <f>D8/D9</f>
        <v>1</v>
      </c>
      <c r="E10" s="111" t="s">
        <v>26</v>
      </c>
      <c r="F10" s="471">
        <f>F8/F9</f>
        <v>1</v>
      </c>
      <c r="G10" s="463">
        <f t="shared" si="0"/>
        <v>0</v>
      </c>
    </row>
    <row r="11" spans="1:9" x14ac:dyDescent="0.25">
      <c r="A11" s="169"/>
      <c r="B11" s="456" t="s">
        <v>168</v>
      </c>
      <c r="C11" s="110"/>
      <c r="D11" s="471">
        <f>D5/D9</f>
        <v>0.32715442633500003</v>
      </c>
      <c r="E11" s="111" t="s">
        <v>21</v>
      </c>
      <c r="F11" s="471">
        <f>F5/F9</f>
        <v>0.32715442633500003</v>
      </c>
      <c r="G11" s="463">
        <f t="shared" si="0"/>
        <v>0</v>
      </c>
    </row>
    <row r="12" spans="1:9" x14ac:dyDescent="0.25">
      <c r="A12" s="169"/>
      <c r="B12" s="457" t="s">
        <v>176</v>
      </c>
      <c r="C12" s="107"/>
      <c r="D12" s="471">
        <f>SUM(D19:D43)</f>
        <v>0.51002012152614618</v>
      </c>
      <c r="E12" s="112" t="s">
        <v>26</v>
      </c>
      <c r="F12" s="471">
        <f>SUM(F19:F43)</f>
        <v>0.51002012152614618</v>
      </c>
      <c r="G12" s="463">
        <f t="shared" si="0"/>
        <v>0</v>
      </c>
      <c r="I12" s="276"/>
    </row>
    <row r="13" spans="1:9" ht="17.25" x14ac:dyDescent="0.25">
      <c r="A13" s="169"/>
      <c r="B13" s="458" t="s">
        <v>165</v>
      </c>
      <c r="C13" s="107"/>
      <c r="D13" s="108">
        <v>30</v>
      </c>
      <c r="E13" s="109" t="s">
        <v>175</v>
      </c>
      <c r="F13" s="108">
        <v>30</v>
      </c>
      <c r="G13" s="463">
        <f t="shared" si="0"/>
        <v>0</v>
      </c>
    </row>
    <row r="14" spans="1:9" x14ac:dyDescent="0.25">
      <c r="A14" s="169"/>
      <c r="B14" s="460" t="s">
        <v>169</v>
      </c>
      <c r="C14" s="122"/>
      <c r="D14" s="123">
        <f>0.001*D11/(D10*D13/10000)</f>
        <v>0.109051475445</v>
      </c>
      <c r="E14" s="124" t="s">
        <v>5</v>
      </c>
      <c r="F14" s="123">
        <f>0.001*F11/(F10*F13/10000)</f>
        <v>0.109051475445</v>
      </c>
      <c r="G14" s="463">
        <f t="shared" si="0"/>
        <v>0</v>
      </c>
    </row>
    <row r="15" spans="1:9" x14ac:dyDescent="0.25">
      <c r="A15" s="169"/>
      <c r="B15" s="15" t="s">
        <v>174</v>
      </c>
      <c r="C15" s="15"/>
      <c r="D15" s="471">
        <v>1</v>
      </c>
      <c r="E15" s="124"/>
      <c r="F15" s="471">
        <v>1</v>
      </c>
      <c r="G15" s="463">
        <f t="shared" si="0"/>
        <v>0</v>
      </c>
    </row>
    <row r="16" spans="1:9" x14ac:dyDescent="0.25">
      <c r="A16" s="169"/>
      <c r="B16" s="22" t="s">
        <v>173</v>
      </c>
      <c r="C16" s="13"/>
      <c r="D16" s="459">
        <f>1000*D15*D14^2/19.6</f>
        <v>0.60674613758833873</v>
      </c>
      <c r="E16" s="313" t="s">
        <v>245</v>
      </c>
      <c r="F16" s="459">
        <f>1000*F15*F14^2/19.6</f>
        <v>0.60674613758833873</v>
      </c>
      <c r="G16" s="463">
        <f t="shared" si="0"/>
        <v>0</v>
      </c>
    </row>
    <row r="17" spans="2:7" x14ac:dyDescent="0.25">
      <c r="B17" s="461" t="s">
        <v>156</v>
      </c>
      <c r="C17" s="462" t="s">
        <v>62</v>
      </c>
      <c r="D17" s="466" t="s">
        <v>161</v>
      </c>
      <c r="E17" s="464"/>
      <c r="F17" s="466" t="s">
        <v>161</v>
      </c>
      <c r="G17" s="465"/>
    </row>
    <row r="18" spans="2:7" x14ac:dyDescent="0.25">
      <c r="B18" s="105"/>
      <c r="C18" s="105" t="s">
        <v>21</v>
      </c>
      <c r="D18" s="105" t="s">
        <v>26</v>
      </c>
      <c r="F18" s="105" t="s">
        <v>26</v>
      </c>
    </row>
    <row r="19" spans="2:7" x14ac:dyDescent="0.25">
      <c r="B19" s="221">
        <f>D9</f>
        <v>25</v>
      </c>
      <c r="C19" s="104">
        <f>D5/$D$9</f>
        <v>0.32715442633500003</v>
      </c>
      <c r="D19" s="106">
        <f>(10.672*$D$10*(0.001*C19/$D$4)^1.852)/(0.001*$D$6)^4.871</f>
        <v>1.4172024275110317E-4</v>
      </c>
      <c r="F19" s="106">
        <f t="shared" ref="F19:F43" si="1">(10.672*$F$10*(0.001*C19/$F$4)^1.852)/(0.001*$F$6)^4.871</f>
        <v>1.4172024275110317E-4</v>
      </c>
    </row>
    <row r="20" spans="2:7" x14ac:dyDescent="0.25">
      <c r="B20" s="99">
        <f t="shared" ref="B20:B43" si="2">B19-1</f>
        <v>24</v>
      </c>
      <c r="C20" s="104">
        <f t="shared" ref="C20:C43" si="3">C19+$C$19</f>
        <v>0.65430885267000005</v>
      </c>
      <c r="D20" s="106">
        <f t="shared" ref="D20:D43" si="4">(10.672*$D$10*(0.001*C20/$D$4)^1.852)/(0.001*$D$6)^4.871</f>
        <v>5.1161048871609083E-4</v>
      </c>
      <c r="F20" s="106">
        <f t="shared" si="1"/>
        <v>5.1161048871609083E-4</v>
      </c>
    </row>
    <row r="21" spans="2:7" x14ac:dyDescent="0.25">
      <c r="B21" s="99">
        <f t="shared" si="2"/>
        <v>23</v>
      </c>
      <c r="C21" s="104">
        <f t="shared" si="3"/>
        <v>0.98146327900500008</v>
      </c>
      <c r="D21" s="106">
        <f t="shared" si="4"/>
        <v>1.0840778009318917E-3</v>
      </c>
      <c r="F21" s="106">
        <f t="shared" si="1"/>
        <v>1.0840778009318917E-3</v>
      </c>
    </row>
    <row r="22" spans="2:7" x14ac:dyDescent="0.25">
      <c r="B22" s="99">
        <f t="shared" si="2"/>
        <v>22</v>
      </c>
      <c r="C22" s="104">
        <f t="shared" si="3"/>
        <v>1.3086177053400001</v>
      </c>
      <c r="D22" s="106">
        <f t="shared" si="4"/>
        <v>1.8469153529747243E-3</v>
      </c>
      <c r="F22" s="106">
        <f t="shared" si="1"/>
        <v>1.8469153529747243E-3</v>
      </c>
    </row>
    <row r="23" spans="2:7" x14ac:dyDescent="0.25">
      <c r="B23" s="99">
        <f t="shared" si="2"/>
        <v>21</v>
      </c>
      <c r="C23" s="104">
        <f t="shared" si="3"/>
        <v>1.635772131675</v>
      </c>
      <c r="D23" s="106">
        <f t="shared" si="4"/>
        <v>2.7920573561812149E-3</v>
      </c>
      <c r="F23" s="106">
        <f t="shared" si="1"/>
        <v>2.7920573561812149E-3</v>
      </c>
    </row>
    <row r="24" spans="2:7" x14ac:dyDescent="0.25">
      <c r="B24" s="99">
        <f t="shared" si="2"/>
        <v>20</v>
      </c>
      <c r="C24" s="104">
        <f t="shared" si="3"/>
        <v>1.9629265580099999</v>
      </c>
      <c r="D24" s="106">
        <f t="shared" si="4"/>
        <v>3.9135240158676126E-3</v>
      </c>
      <c r="F24" s="106">
        <f t="shared" si="1"/>
        <v>3.9135240158676126E-3</v>
      </c>
    </row>
    <row r="25" spans="2:7" x14ac:dyDescent="0.25">
      <c r="B25" s="99">
        <f t="shared" si="2"/>
        <v>19</v>
      </c>
      <c r="C25" s="104">
        <f t="shared" si="3"/>
        <v>2.2900809843449998</v>
      </c>
      <c r="D25" s="106">
        <f t="shared" si="4"/>
        <v>5.2065909321532692E-3</v>
      </c>
      <c r="F25" s="106">
        <f t="shared" si="1"/>
        <v>5.2065909321532692E-3</v>
      </c>
    </row>
    <row r="26" spans="2:7" x14ac:dyDescent="0.25">
      <c r="B26" s="99">
        <f t="shared" si="2"/>
        <v>18</v>
      </c>
      <c r="C26" s="104">
        <f t="shared" si="3"/>
        <v>2.6172354106799998</v>
      </c>
      <c r="D26" s="106">
        <f t="shared" si="4"/>
        <v>6.6673697984848731E-3</v>
      </c>
      <c r="F26" s="106">
        <f t="shared" si="1"/>
        <v>6.6673697984848731E-3</v>
      </c>
    </row>
    <row r="27" spans="2:7" x14ac:dyDescent="0.25">
      <c r="B27" s="99">
        <f t="shared" si="2"/>
        <v>17</v>
      </c>
      <c r="C27" s="104">
        <f t="shared" si="3"/>
        <v>2.9443898370149997</v>
      </c>
      <c r="D27" s="106">
        <f t="shared" si="4"/>
        <v>8.2925674953670207E-3</v>
      </c>
      <c r="F27" s="106">
        <f t="shared" si="1"/>
        <v>8.2925674953670207E-3</v>
      </c>
    </row>
    <row r="28" spans="2:7" x14ac:dyDescent="0.25">
      <c r="B28" s="99">
        <f t="shared" si="2"/>
        <v>16</v>
      </c>
      <c r="C28" s="104">
        <f t="shared" si="3"/>
        <v>3.2715442633499996</v>
      </c>
      <c r="D28" s="106">
        <f t="shared" si="4"/>
        <v>1.0079335180281498E-2</v>
      </c>
      <c r="F28" s="106">
        <f t="shared" si="1"/>
        <v>1.0079335180281498E-2</v>
      </c>
    </row>
    <row r="29" spans="2:7" x14ac:dyDescent="0.25">
      <c r="B29" s="99">
        <f t="shared" si="2"/>
        <v>15</v>
      </c>
      <c r="C29" s="104">
        <f t="shared" si="3"/>
        <v>3.5986986896849995</v>
      </c>
      <c r="D29" s="106">
        <f t="shared" si="4"/>
        <v>1.2025167667388563E-2</v>
      </c>
      <c r="F29" s="106">
        <f t="shared" si="1"/>
        <v>1.2025167667388563E-2</v>
      </c>
    </row>
    <row r="30" spans="2:7" x14ac:dyDescent="0.25">
      <c r="B30" s="99">
        <f t="shared" si="2"/>
        <v>14</v>
      </c>
      <c r="C30" s="104">
        <f t="shared" si="3"/>
        <v>3.9258531160199994</v>
      </c>
      <c r="D30" s="106">
        <f t="shared" si="4"/>
        <v>1.4127833085048834E-2</v>
      </c>
      <c r="F30" s="106">
        <f t="shared" si="1"/>
        <v>1.4127833085048834E-2</v>
      </c>
    </row>
    <row r="31" spans="2:7" x14ac:dyDescent="0.25">
      <c r="B31" s="99">
        <f t="shared" si="2"/>
        <v>13</v>
      </c>
      <c r="C31" s="104">
        <f t="shared" si="3"/>
        <v>4.2530075423549993</v>
      </c>
      <c r="D31" s="106">
        <f t="shared" si="4"/>
        <v>1.6385321833627651E-2</v>
      </c>
      <c r="F31" s="106">
        <f t="shared" si="1"/>
        <v>1.6385321833627651E-2</v>
      </c>
    </row>
    <row r="32" spans="2:7" x14ac:dyDescent="0.25">
      <c r="B32" s="99">
        <f t="shared" si="2"/>
        <v>12</v>
      </c>
      <c r="C32" s="104">
        <f t="shared" si="3"/>
        <v>4.5801619686899997</v>
      </c>
      <c r="D32" s="106">
        <f t="shared" si="4"/>
        <v>1.8795808415470523E-2</v>
      </c>
      <c r="F32" s="106">
        <f t="shared" si="1"/>
        <v>1.8795808415470523E-2</v>
      </c>
    </row>
    <row r="33" spans="2:6" x14ac:dyDescent="0.25">
      <c r="B33" s="99">
        <f t="shared" si="2"/>
        <v>11</v>
      </c>
      <c r="C33" s="104">
        <f t="shared" si="3"/>
        <v>4.9073163950250001</v>
      </c>
      <c r="D33" s="106">
        <f t="shared" si="4"/>
        <v>2.1357622171735036E-2</v>
      </c>
      <c r="F33" s="106">
        <f t="shared" si="1"/>
        <v>2.1357622171735036E-2</v>
      </c>
    </row>
    <row r="34" spans="2:6" x14ac:dyDescent="0.25">
      <c r="B34" s="99">
        <f t="shared" si="2"/>
        <v>10</v>
      </c>
      <c r="C34" s="104">
        <f t="shared" si="3"/>
        <v>5.2344708213600004</v>
      </c>
      <c r="D34" s="106">
        <f t="shared" si="4"/>
        <v>2.4069224373574605E-2</v>
      </c>
      <c r="F34" s="106">
        <f t="shared" si="1"/>
        <v>2.4069224373574605E-2</v>
      </c>
    </row>
    <row r="35" spans="2:6" x14ac:dyDescent="0.25">
      <c r="B35" s="99">
        <f t="shared" si="2"/>
        <v>9</v>
      </c>
      <c r="C35" s="104">
        <f t="shared" si="3"/>
        <v>5.5616252476950008</v>
      </c>
      <c r="D35" s="106">
        <f t="shared" si="4"/>
        <v>2.6929189965178308E-2</v>
      </c>
      <c r="F35" s="106">
        <f t="shared" si="1"/>
        <v>2.6929189965178308E-2</v>
      </c>
    </row>
    <row r="36" spans="2:6" x14ac:dyDescent="0.25">
      <c r="B36" s="99">
        <f t="shared" si="2"/>
        <v>8</v>
      </c>
      <c r="C36" s="104">
        <f t="shared" si="3"/>
        <v>5.8887796740300011</v>
      </c>
      <c r="D36" s="106">
        <f t="shared" si="4"/>
        <v>2.9936192788400241E-2</v>
      </c>
      <c r="F36" s="106">
        <f t="shared" si="1"/>
        <v>2.9936192788400241E-2</v>
      </c>
    </row>
    <row r="37" spans="2:6" x14ac:dyDescent="0.25">
      <c r="B37" s="99">
        <f t="shared" si="2"/>
        <v>7</v>
      </c>
      <c r="C37" s="104">
        <f t="shared" si="3"/>
        <v>6.2159341003650015</v>
      </c>
      <c r="D37" s="106">
        <f t="shared" si="4"/>
        <v>3.3088993463462245E-2</v>
      </c>
      <c r="F37" s="106">
        <f t="shared" si="1"/>
        <v>3.3088993463462245E-2</v>
      </c>
    </row>
    <row r="38" spans="2:6" x14ac:dyDescent="0.25">
      <c r="B38" s="99">
        <f t="shared" si="2"/>
        <v>6</v>
      </c>
      <c r="C38" s="104">
        <f t="shared" si="3"/>
        <v>6.5430885267000019</v>
      </c>
      <c r="D38" s="106">
        <f t="shared" si="4"/>
        <v>3.6386429330166836E-2</v>
      </c>
      <c r="F38" s="106">
        <f t="shared" si="1"/>
        <v>3.6386429330166836E-2</v>
      </c>
    </row>
    <row r="39" spans="2:6" x14ac:dyDescent="0.25">
      <c r="B39" s="99">
        <f t="shared" si="2"/>
        <v>5</v>
      </c>
      <c r="C39" s="104">
        <f t="shared" si="3"/>
        <v>6.8702429530350022</v>
      </c>
      <c r="D39" s="106">
        <f t="shared" si="4"/>
        <v>3.9827406011388081E-2</v>
      </c>
      <c r="F39" s="106">
        <f t="shared" si="1"/>
        <v>3.9827406011388081E-2</v>
      </c>
    </row>
    <row r="40" spans="2:6" x14ac:dyDescent="0.25">
      <c r="B40" s="99">
        <f t="shared" si="2"/>
        <v>4</v>
      </c>
      <c r="C40" s="104">
        <f t="shared" si="3"/>
        <v>7.1973973793700026</v>
      </c>
      <c r="D40" s="106">
        <f t="shared" si="4"/>
        <v>4.3410890270703453E-2</v>
      </c>
      <c r="F40" s="106">
        <f t="shared" si="1"/>
        <v>4.3410890270703453E-2</v>
      </c>
    </row>
    <row r="41" spans="2:6" x14ac:dyDescent="0.25">
      <c r="B41" s="99">
        <f t="shared" si="2"/>
        <v>3</v>
      </c>
      <c r="C41" s="104">
        <f t="shared" si="3"/>
        <v>7.5245518057050029</v>
      </c>
      <c r="D41" s="106">
        <f t="shared" si="4"/>
        <v>4.713590391461471E-2</v>
      </c>
      <c r="F41" s="106">
        <f t="shared" si="1"/>
        <v>4.713590391461471E-2</v>
      </c>
    </row>
    <row r="42" spans="2:6" x14ac:dyDescent="0.25">
      <c r="B42" s="99">
        <f t="shared" si="2"/>
        <v>2</v>
      </c>
      <c r="C42" s="104">
        <f t="shared" si="3"/>
        <v>7.8517062320400033</v>
      </c>
      <c r="D42" s="106">
        <f t="shared" si="4"/>
        <v>5.1001518546897592E-2</v>
      </c>
      <c r="F42" s="106">
        <f t="shared" si="1"/>
        <v>5.1001518546897592E-2</v>
      </c>
    </row>
    <row r="43" spans="2:6" x14ac:dyDescent="0.25">
      <c r="B43" s="99">
        <f t="shared" si="2"/>
        <v>1</v>
      </c>
      <c r="C43" s="104">
        <f t="shared" si="3"/>
        <v>8.1788606583750028</v>
      </c>
      <c r="D43" s="106">
        <f t="shared" si="4"/>
        <v>5.5006851024780146E-2</v>
      </c>
      <c r="F43" s="106">
        <f t="shared" si="1"/>
        <v>5.5006851024780146E-2</v>
      </c>
    </row>
  </sheetData>
  <mergeCells count="1">
    <mergeCell ref="B2:E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186B3-DB7D-48D0-8B81-E5F863EDE964}">
  <dimension ref="A1:C10"/>
  <sheetViews>
    <sheetView showGridLines="0" workbookViewId="0">
      <selection activeCell="A11" sqref="A11"/>
    </sheetView>
  </sheetViews>
  <sheetFormatPr baseColWidth="10" defaultRowHeight="15" x14ac:dyDescent="0.25"/>
  <cols>
    <col min="1" max="1" width="17.28515625" customWidth="1"/>
    <col min="2" max="2" width="15" customWidth="1"/>
    <col min="3" max="3" width="20" customWidth="1"/>
  </cols>
  <sheetData>
    <row r="1" spans="1:3" ht="39" customHeight="1" x14ac:dyDescent="0.25">
      <c r="A1" s="627" t="s">
        <v>200</v>
      </c>
      <c r="B1" s="628"/>
      <c r="C1" s="628"/>
    </row>
    <row r="2" spans="1:3" ht="44.25" customHeight="1" x14ac:dyDescent="0.25">
      <c r="A2" s="174" t="s">
        <v>195</v>
      </c>
      <c r="B2" s="174" t="s">
        <v>196</v>
      </c>
      <c r="C2" s="174" t="s">
        <v>197</v>
      </c>
    </row>
    <row r="3" spans="1:3" ht="27.75" customHeight="1" x14ac:dyDescent="0.25">
      <c r="A3" s="175" t="s">
        <v>41</v>
      </c>
      <c r="B3" s="175" t="s">
        <v>198</v>
      </c>
      <c r="C3" s="175" t="s">
        <v>199</v>
      </c>
    </row>
    <row r="4" spans="1:3" x14ac:dyDescent="0.25">
      <c r="A4" s="176">
        <v>1</v>
      </c>
      <c r="B4" s="177" t="s">
        <v>119</v>
      </c>
      <c r="C4" s="177" t="s">
        <v>201</v>
      </c>
    </row>
    <row r="5" spans="1:3" x14ac:dyDescent="0.25">
      <c r="A5" s="176">
        <v>2</v>
      </c>
      <c r="B5" s="176">
        <v>0.61</v>
      </c>
      <c r="C5" s="176">
        <v>1</v>
      </c>
    </row>
    <row r="6" spans="1:3" x14ac:dyDescent="0.25">
      <c r="A6" s="176">
        <v>3</v>
      </c>
      <c r="B6" s="176">
        <v>0.88</v>
      </c>
      <c r="C6" s="176">
        <v>1.6</v>
      </c>
    </row>
    <row r="7" spans="1:3" x14ac:dyDescent="0.25">
      <c r="A7" s="176">
        <v>4</v>
      </c>
      <c r="B7" s="176">
        <v>1.03</v>
      </c>
      <c r="C7" s="176">
        <v>2.2000000000000002</v>
      </c>
    </row>
    <row r="8" spans="1:3" x14ac:dyDescent="0.25">
      <c r="A8" s="176">
        <v>5</v>
      </c>
      <c r="B8" s="176">
        <v>1.23</v>
      </c>
      <c r="C8" s="176">
        <v>3</v>
      </c>
    </row>
    <row r="9" spans="1:3" x14ac:dyDescent="0.25">
      <c r="A9" s="176">
        <v>6</v>
      </c>
      <c r="B9" s="176">
        <v>1.41</v>
      </c>
      <c r="C9" s="176">
        <v>3.6</v>
      </c>
    </row>
    <row r="10" spans="1:3" ht="36" customHeight="1" x14ac:dyDescent="0.25">
      <c r="A10" s="625" t="s">
        <v>353</v>
      </c>
      <c r="B10" s="626"/>
      <c r="C10" s="626"/>
    </row>
  </sheetData>
  <mergeCells count="2">
    <mergeCell ref="A10:C10"/>
    <mergeCell ref="A1:C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114DB-59EC-4AE1-B48D-347772BB2F9C}">
  <dimension ref="B3:I48"/>
  <sheetViews>
    <sheetView showGridLines="0" zoomScale="75" zoomScaleNormal="75" workbookViewId="0">
      <selection activeCell="D4" sqref="D4:D5"/>
    </sheetView>
  </sheetViews>
  <sheetFormatPr baseColWidth="10" defaultRowHeight="15" x14ac:dyDescent="0.25"/>
  <cols>
    <col min="2" max="3" width="13.42578125" customWidth="1"/>
    <col min="4" max="4" width="12.85546875" customWidth="1"/>
    <col min="5" max="5" width="14.140625" style="46" customWidth="1"/>
    <col min="7" max="8" width="13" customWidth="1"/>
    <col min="9" max="9" width="13.28515625" customWidth="1"/>
  </cols>
  <sheetData>
    <row r="3" spans="2:9" ht="28.5" customHeight="1" x14ac:dyDescent="0.25">
      <c r="B3" s="83" t="s">
        <v>184</v>
      </c>
      <c r="C3" s="83" t="s">
        <v>185</v>
      </c>
      <c r="D3" s="83" t="s">
        <v>186</v>
      </c>
      <c r="E3" s="83" t="s">
        <v>187</v>
      </c>
      <c r="F3" s="83" t="s">
        <v>188</v>
      </c>
      <c r="G3" s="637" t="s">
        <v>189</v>
      </c>
      <c r="H3" s="638"/>
      <c r="I3" s="639"/>
    </row>
    <row r="4" spans="2:9" x14ac:dyDescent="0.25">
      <c r="B4" s="641" t="s">
        <v>73</v>
      </c>
      <c r="C4" s="641" t="s">
        <v>58</v>
      </c>
      <c r="D4" s="641" t="s">
        <v>389</v>
      </c>
      <c r="E4" s="641" t="s">
        <v>129</v>
      </c>
      <c r="F4" s="641" t="s">
        <v>38</v>
      </c>
      <c r="G4" s="637" t="s">
        <v>131</v>
      </c>
      <c r="H4" s="640"/>
      <c r="I4" s="639"/>
    </row>
    <row r="5" spans="2:9" x14ac:dyDescent="0.25">
      <c r="B5" s="642"/>
      <c r="C5" s="642"/>
      <c r="D5" s="642"/>
      <c r="E5" s="642"/>
      <c r="F5" s="642"/>
      <c r="G5" s="308">
        <v>0</v>
      </c>
      <c r="H5" s="308">
        <v>5</v>
      </c>
      <c r="I5" s="308">
        <v>10</v>
      </c>
    </row>
    <row r="6" spans="2:9" x14ac:dyDescent="0.25">
      <c r="B6" s="85">
        <v>0</v>
      </c>
      <c r="C6" s="86">
        <v>999.82</v>
      </c>
      <c r="D6" s="87">
        <v>1.792E-3</v>
      </c>
      <c r="E6" s="84">
        <f>D6/C6</f>
        <v>1.7923226180712527E-6</v>
      </c>
      <c r="F6" s="86">
        <v>0.61099999999999999</v>
      </c>
      <c r="G6" s="86">
        <v>14.6</v>
      </c>
      <c r="H6" s="86">
        <v>14.11</v>
      </c>
      <c r="I6" s="86">
        <v>13.64</v>
      </c>
    </row>
    <row r="7" spans="2:9" x14ac:dyDescent="0.25">
      <c r="B7" s="85">
        <f>B6+1</f>
        <v>1</v>
      </c>
      <c r="C7" s="86">
        <v>999.89</v>
      </c>
      <c r="D7" s="87">
        <v>1.7309999999999999E-3</v>
      </c>
      <c r="E7" s="84">
        <f t="shared" ref="E7:E46" si="0">D7/C7</f>
        <v>1.7311904309474041E-6</v>
      </c>
      <c r="F7" s="86">
        <v>0.65700000000000003</v>
      </c>
      <c r="G7" s="86">
        <v>14.2</v>
      </c>
      <c r="H7" s="86">
        <v>13.73</v>
      </c>
      <c r="I7" s="86">
        <v>13.27</v>
      </c>
    </row>
    <row r="8" spans="2:9" x14ac:dyDescent="0.25">
      <c r="B8" s="85">
        <f t="shared" ref="B8:B46" si="1">B7+1</f>
        <v>2</v>
      </c>
      <c r="C8" s="86">
        <v>999.94</v>
      </c>
      <c r="D8" s="87">
        <v>1.6739999999999999E-3</v>
      </c>
      <c r="E8" s="84">
        <f t="shared" si="0"/>
        <v>1.6741004460267615E-6</v>
      </c>
      <c r="F8" s="86">
        <v>0.70499999999999996</v>
      </c>
      <c r="G8" s="86">
        <v>13.81</v>
      </c>
      <c r="H8" s="86">
        <v>13.36</v>
      </c>
      <c r="I8" s="86">
        <v>12.91</v>
      </c>
    </row>
    <row r="9" spans="2:9" x14ac:dyDescent="0.25">
      <c r="B9" s="85">
        <f t="shared" si="1"/>
        <v>3</v>
      </c>
      <c r="C9" s="86">
        <v>999.98</v>
      </c>
      <c r="D9" s="87">
        <v>1.6199999999999999E-3</v>
      </c>
      <c r="E9" s="84">
        <f t="shared" si="0"/>
        <v>1.6200324006480128E-6</v>
      </c>
      <c r="F9" s="86">
        <v>0.75700000000000001</v>
      </c>
      <c r="G9" s="86">
        <v>13.45</v>
      </c>
      <c r="H9" s="86">
        <v>13</v>
      </c>
      <c r="I9" s="86">
        <v>12.58</v>
      </c>
    </row>
    <row r="10" spans="2:9" x14ac:dyDescent="0.25">
      <c r="B10" s="85">
        <f t="shared" si="1"/>
        <v>4</v>
      </c>
      <c r="C10" s="86">
        <v>1000</v>
      </c>
      <c r="D10" s="87">
        <v>1.5690000000000001E-3</v>
      </c>
      <c r="E10" s="84">
        <f t="shared" si="0"/>
        <v>1.5690000000000001E-6</v>
      </c>
      <c r="F10" s="86">
        <v>0.81299999999999994</v>
      </c>
      <c r="G10" s="86">
        <v>13.09</v>
      </c>
      <c r="H10" s="86">
        <v>12.67</v>
      </c>
      <c r="I10" s="86">
        <v>12.25</v>
      </c>
    </row>
    <row r="11" spans="2:9" x14ac:dyDescent="0.25">
      <c r="B11" s="85">
        <f t="shared" si="1"/>
        <v>5</v>
      </c>
      <c r="C11" s="86">
        <v>1000</v>
      </c>
      <c r="D11" s="87">
        <v>1.5200000000000001E-3</v>
      </c>
      <c r="E11" s="84">
        <f t="shared" si="0"/>
        <v>1.5200000000000001E-6</v>
      </c>
      <c r="F11" s="86">
        <v>0.872</v>
      </c>
      <c r="G11" s="86">
        <v>12.76</v>
      </c>
      <c r="H11" s="86">
        <v>12.34</v>
      </c>
      <c r="I11" s="86">
        <v>11.94</v>
      </c>
    </row>
    <row r="12" spans="2:9" x14ac:dyDescent="0.25">
      <c r="B12" s="85">
        <f t="shared" si="1"/>
        <v>6</v>
      </c>
      <c r="C12" s="86">
        <v>999.99</v>
      </c>
      <c r="D12" s="87">
        <v>1.4729999999999999E-3</v>
      </c>
      <c r="E12" s="84">
        <f t="shared" si="0"/>
        <v>1.4730147301473013E-6</v>
      </c>
      <c r="F12" s="86">
        <v>0.93500000000000005</v>
      </c>
      <c r="G12" s="86">
        <v>12.44</v>
      </c>
      <c r="H12" s="86">
        <v>12.04</v>
      </c>
      <c r="I12" s="86">
        <v>11.65</v>
      </c>
    </row>
    <row r="13" spans="2:9" x14ac:dyDescent="0.25">
      <c r="B13" s="85">
        <f t="shared" si="1"/>
        <v>7</v>
      </c>
      <c r="C13" s="86">
        <v>999.96</v>
      </c>
      <c r="D13" s="87">
        <v>1.4289999999999999E-3</v>
      </c>
      <c r="E13" s="84">
        <f t="shared" si="0"/>
        <v>1.4290571622864914E-6</v>
      </c>
      <c r="F13" s="86">
        <v>1.0009999999999999</v>
      </c>
      <c r="G13" s="86">
        <v>12.13</v>
      </c>
      <c r="H13" s="86">
        <v>11.74</v>
      </c>
      <c r="I13" s="86">
        <v>11.37</v>
      </c>
    </row>
    <row r="14" spans="2:9" x14ac:dyDescent="0.25">
      <c r="B14" s="85">
        <f t="shared" si="1"/>
        <v>8</v>
      </c>
      <c r="C14" s="86">
        <v>999.91</v>
      </c>
      <c r="D14" s="87">
        <v>1.3860000000000001E-3</v>
      </c>
      <c r="E14" s="84">
        <f t="shared" si="0"/>
        <v>1.3861247512276105E-6</v>
      </c>
      <c r="F14" s="86">
        <v>1.0720000000000001</v>
      </c>
      <c r="G14" s="86">
        <v>11.83</v>
      </c>
      <c r="H14" s="86">
        <v>11.46</v>
      </c>
      <c r="I14" s="86">
        <v>11.09</v>
      </c>
    </row>
    <row r="15" spans="2:9" x14ac:dyDescent="0.25">
      <c r="B15" s="85">
        <f t="shared" si="1"/>
        <v>9</v>
      </c>
      <c r="C15" s="86">
        <v>999.85</v>
      </c>
      <c r="D15" s="87">
        <v>1.346E-3</v>
      </c>
      <c r="E15" s="84">
        <f t="shared" si="0"/>
        <v>1.3462019302895433E-6</v>
      </c>
      <c r="F15" s="86">
        <v>1.147</v>
      </c>
      <c r="G15" s="86">
        <v>11.55</v>
      </c>
      <c r="H15" s="86">
        <v>11.19</v>
      </c>
      <c r="I15" s="86">
        <v>10.83</v>
      </c>
    </row>
    <row r="16" spans="2:9" x14ac:dyDescent="0.25">
      <c r="B16" s="85">
        <f t="shared" si="1"/>
        <v>10</v>
      </c>
      <c r="C16" s="86">
        <v>999.77</v>
      </c>
      <c r="D16" s="87">
        <v>1.3079999999999999E-3</v>
      </c>
      <c r="E16" s="84">
        <f t="shared" si="0"/>
        <v>1.3083009092091181E-6</v>
      </c>
      <c r="F16" s="86">
        <v>1.2270000000000001</v>
      </c>
      <c r="G16" s="86">
        <v>11.28</v>
      </c>
      <c r="H16" s="86">
        <v>10.92</v>
      </c>
      <c r="I16" s="86">
        <v>10.58</v>
      </c>
    </row>
    <row r="17" spans="2:9" x14ac:dyDescent="0.25">
      <c r="B17" s="85">
        <f t="shared" si="1"/>
        <v>11</v>
      </c>
      <c r="C17" s="86">
        <v>999.68</v>
      </c>
      <c r="D17" s="87">
        <v>1.271E-3</v>
      </c>
      <c r="E17" s="84">
        <f t="shared" si="0"/>
        <v>1.2714068501920614E-6</v>
      </c>
      <c r="F17" s="86">
        <v>1.3120000000000001</v>
      </c>
      <c r="G17" s="86">
        <v>11.02</v>
      </c>
      <c r="H17" s="86">
        <v>10.67</v>
      </c>
      <c r="I17" s="86">
        <v>10.34</v>
      </c>
    </row>
    <row r="18" spans="2:9" x14ac:dyDescent="0.25">
      <c r="B18" s="85">
        <f t="shared" si="1"/>
        <v>12</v>
      </c>
      <c r="C18" s="86">
        <v>999.58</v>
      </c>
      <c r="D18" s="87">
        <v>1.2359999999999999E-3</v>
      </c>
      <c r="E18" s="84">
        <f t="shared" si="0"/>
        <v>1.2365193381220111E-6</v>
      </c>
      <c r="F18" s="86">
        <v>1.4019999999999999</v>
      </c>
      <c r="G18" s="86">
        <v>10.77</v>
      </c>
      <c r="H18" s="86">
        <v>10.43</v>
      </c>
      <c r="I18" s="86">
        <v>10.11</v>
      </c>
    </row>
    <row r="19" spans="2:9" x14ac:dyDescent="0.25">
      <c r="B19" s="85">
        <f t="shared" si="1"/>
        <v>13</v>
      </c>
      <c r="C19" s="86">
        <v>999.46</v>
      </c>
      <c r="D19" s="87">
        <v>1.2019999999999999E-3</v>
      </c>
      <c r="E19" s="84">
        <f t="shared" si="0"/>
        <v>1.2026494306925738E-6</v>
      </c>
      <c r="F19" s="86">
        <v>1.4970000000000001</v>
      </c>
      <c r="G19" s="86">
        <v>10.53</v>
      </c>
      <c r="H19" s="86">
        <v>10.199999999999999</v>
      </c>
      <c r="I19" s="86">
        <v>9.89</v>
      </c>
    </row>
    <row r="20" spans="2:9" x14ac:dyDescent="0.25">
      <c r="B20" s="85">
        <f t="shared" si="1"/>
        <v>14</v>
      </c>
      <c r="C20" s="86">
        <v>999.33</v>
      </c>
      <c r="D20" s="87">
        <v>1.17E-3</v>
      </c>
      <c r="E20" s="84">
        <f t="shared" si="0"/>
        <v>1.1707844255651285E-6</v>
      </c>
      <c r="F20" s="86">
        <v>1.597</v>
      </c>
      <c r="G20" s="86">
        <v>10.29</v>
      </c>
      <c r="H20" s="86">
        <v>9.98</v>
      </c>
      <c r="I20" s="86">
        <v>9.68</v>
      </c>
    </row>
    <row r="21" spans="2:9" x14ac:dyDescent="0.25">
      <c r="B21" s="85">
        <f t="shared" si="1"/>
        <v>15</v>
      </c>
      <c r="C21" s="86">
        <v>999.19</v>
      </c>
      <c r="D21" s="87">
        <v>1.139E-3</v>
      </c>
      <c r="E21" s="84">
        <f t="shared" si="0"/>
        <v>1.1399233379037019E-6</v>
      </c>
      <c r="F21" s="86">
        <v>1.704</v>
      </c>
      <c r="G21" s="86">
        <v>10.07</v>
      </c>
      <c r="H21" s="86">
        <v>9.77</v>
      </c>
      <c r="I21" s="86">
        <v>9.4700000000000006</v>
      </c>
    </row>
    <row r="22" spans="2:9" x14ac:dyDescent="0.25">
      <c r="B22" s="85">
        <f t="shared" si="1"/>
        <v>16</v>
      </c>
      <c r="C22" s="86">
        <v>999.03</v>
      </c>
      <c r="D22" s="87">
        <v>1.109E-3</v>
      </c>
      <c r="E22" s="84">
        <f t="shared" si="0"/>
        <v>1.110076774471237E-6</v>
      </c>
      <c r="F22" s="86">
        <v>1.8169999999999999</v>
      </c>
      <c r="G22" s="86">
        <v>9.86</v>
      </c>
      <c r="H22" s="86">
        <v>9.56</v>
      </c>
      <c r="I22" s="86">
        <v>9.2799999999999994</v>
      </c>
    </row>
    <row r="23" spans="2:9" x14ac:dyDescent="0.25">
      <c r="B23" s="85">
        <f t="shared" si="1"/>
        <v>17</v>
      </c>
      <c r="C23" s="86">
        <v>998.86</v>
      </c>
      <c r="D23" s="87">
        <v>1.0809999999999999E-3</v>
      </c>
      <c r="E23" s="84">
        <f t="shared" si="0"/>
        <v>1.0822337464709768E-6</v>
      </c>
      <c r="F23" s="86">
        <v>1.9359999999999999</v>
      </c>
      <c r="G23" s="86">
        <v>9.65</v>
      </c>
      <c r="H23" s="86">
        <v>9.36</v>
      </c>
      <c r="I23" s="86">
        <v>9.09</v>
      </c>
    </row>
    <row r="24" spans="2:9" x14ac:dyDescent="0.25">
      <c r="B24" s="85">
        <f t="shared" si="1"/>
        <v>18</v>
      </c>
      <c r="C24" s="86">
        <v>998.68</v>
      </c>
      <c r="D24" s="87">
        <v>1.054E-3</v>
      </c>
      <c r="E24" s="84">
        <f t="shared" si="0"/>
        <v>1.0553931189169705E-6</v>
      </c>
      <c r="F24" s="86">
        <v>2.0630000000000002</v>
      </c>
      <c r="G24" s="86">
        <v>9.4499999999999993</v>
      </c>
      <c r="H24" s="86">
        <v>9.17</v>
      </c>
      <c r="I24" s="86">
        <v>8.9</v>
      </c>
    </row>
    <row r="25" spans="2:9" x14ac:dyDescent="0.25">
      <c r="B25" s="85">
        <f t="shared" si="1"/>
        <v>19</v>
      </c>
      <c r="C25" s="86">
        <v>998.49</v>
      </c>
      <c r="D25" s="87">
        <v>1.0280000000000001E-3</v>
      </c>
      <c r="E25" s="84">
        <f t="shared" si="0"/>
        <v>1.0295546274875061E-6</v>
      </c>
      <c r="F25" s="86">
        <v>2.1960000000000002</v>
      </c>
      <c r="G25" s="86">
        <v>9.26</v>
      </c>
      <c r="H25" s="86">
        <v>8.99</v>
      </c>
      <c r="I25" s="86">
        <v>8.73</v>
      </c>
    </row>
    <row r="26" spans="2:9" x14ac:dyDescent="0.25">
      <c r="B26" s="85">
        <f t="shared" si="1"/>
        <v>20</v>
      </c>
      <c r="C26" s="86">
        <v>998.29</v>
      </c>
      <c r="D26" s="87">
        <v>1.003E-3</v>
      </c>
      <c r="E26" s="84">
        <f t="shared" si="0"/>
        <v>1.0047180678961023E-6</v>
      </c>
      <c r="F26" s="86">
        <v>2.3370000000000002</v>
      </c>
      <c r="G26" s="86">
        <v>9.08</v>
      </c>
      <c r="H26" s="86">
        <v>8.81</v>
      </c>
      <c r="I26" s="86">
        <v>8.56</v>
      </c>
    </row>
    <row r="27" spans="2:9" x14ac:dyDescent="0.25">
      <c r="B27" s="85">
        <f t="shared" si="1"/>
        <v>21</v>
      </c>
      <c r="C27" s="86">
        <v>998.08</v>
      </c>
      <c r="D27" s="87">
        <v>9.7900000000000005E-4</v>
      </c>
      <c r="E27" s="84">
        <f t="shared" si="0"/>
        <v>9.8088329592818217E-7</v>
      </c>
      <c r="F27" s="86">
        <v>2.4860000000000002</v>
      </c>
      <c r="G27" s="86">
        <v>8.9</v>
      </c>
      <c r="H27" s="86">
        <v>8.64</v>
      </c>
      <c r="I27" s="86">
        <v>8.39</v>
      </c>
    </row>
    <row r="28" spans="2:9" x14ac:dyDescent="0.25">
      <c r="B28" s="85">
        <f t="shared" si="1"/>
        <v>22</v>
      </c>
      <c r="C28" s="86">
        <v>997.86</v>
      </c>
      <c r="D28" s="87">
        <v>9.5500000000000001E-4</v>
      </c>
      <c r="E28" s="84">
        <f t="shared" si="0"/>
        <v>9.5704808289740053E-7</v>
      </c>
      <c r="F28" s="86">
        <v>2.6419999999999999</v>
      </c>
      <c r="G28" s="86">
        <v>8.73</v>
      </c>
      <c r="H28" s="86">
        <v>8.48</v>
      </c>
      <c r="I28" s="86">
        <v>8.23</v>
      </c>
    </row>
    <row r="29" spans="2:9" x14ac:dyDescent="0.25">
      <c r="B29" s="85">
        <f t="shared" si="1"/>
        <v>23</v>
      </c>
      <c r="C29" s="86">
        <v>997.62</v>
      </c>
      <c r="D29" s="87">
        <v>9.3300000000000002E-4</v>
      </c>
      <c r="E29" s="84">
        <f t="shared" si="0"/>
        <v>9.3522583749323393E-7</v>
      </c>
      <c r="F29" s="86">
        <v>2.8079999999999998</v>
      </c>
      <c r="G29" s="86">
        <v>8.56</v>
      </c>
      <c r="H29" s="86">
        <v>8.32</v>
      </c>
      <c r="I29" s="86">
        <v>8.08</v>
      </c>
    </row>
    <row r="30" spans="2:9" x14ac:dyDescent="0.25">
      <c r="B30" s="85">
        <f t="shared" si="1"/>
        <v>24</v>
      </c>
      <c r="C30" s="86">
        <v>997.38</v>
      </c>
      <c r="D30" s="87">
        <v>9.1100000000000003E-4</v>
      </c>
      <c r="E30" s="84">
        <f t="shared" si="0"/>
        <v>9.1339308989552636E-7</v>
      </c>
      <c r="F30" s="86">
        <v>2.9820000000000002</v>
      </c>
      <c r="G30" s="86">
        <v>8.4</v>
      </c>
      <c r="H30" s="86">
        <v>8.16</v>
      </c>
      <c r="I30" s="86">
        <v>7.93</v>
      </c>
    </row>
    <row r="31" spans="2:9" x14ac:dyDescent="0.25">
      <c r="B31" s="85">
        <f t="shared" si="1"/>
        <v>25</v>
      </c>
      <c r="C31" s="86">
        <v>997.13</v>
      </c>
      <c r="D31" s="87">
        <v>8.9099999999999997E-4</v>
      </c>
      <c r="E31" s="84">
        <f t="shared" si="0"/>
        <v>8.9356453020167885E-7</v>
      </c>
      <c r="F31" s="86">
        <v>3.1659999999999999</v>
      </c>
      <c r="G31" s="86">
        <v>8.24</v>
      </c>
      <c r="H31" s="86">
        <v>8.01</v>
      </c>
      <c r="I31" s="86">
        <v>7.79</v>
      </c>
    </row>
    <row r="32" spans="2:9" x14ac:dyDescent="0.25">
      <c r="B32" s="85">
        <f t="shared" si="1"/>
        <v>26</v>
      </c>
      <c r="C32" s="86">
        <v>996.86</v>
      </c>
      <c r="D32" s="87">
        <v>8.7100000000000003E-4</v>
      </c>
      <c r="E32" s="84">
        <f t="shared" si="0"/>
        <v>8.7374355476195253E-7</v>
      </c>
      <c r="F32" s="86">
        <v>3.36</v>
      </c>
      <c r="G32" s="86">
        <v>8.09</v>
      </c>
      <c r="H32" s="86">
        <v>7.87</v>
      </c>
      <c r="I32" s="86">
        <v>7.65</v>
      </c>
    </row>
    <row r="33" spans="2:9" x14ac:dyDescent="0.25">
      <c r="B33" s="85">
        <f t="shared" si="1"/>
        <v>27</v>
      </c>
      <c r="C33" s="86">
        <v>996.59</v>
      </c>
      <c r="D33" s="87">
        <v>8.52E-4</v>
      </c>
      <c r="E33" s="84">
        <f t="shared" si="0"/>
        <v>8.5491526104014687E-7</v>
      </c>
      <c r="F33" s="86">
        <v>3.5640000000000001</v>
      </c>
      <c r="G33" s="86">
        <v>7.95</v>
      </c>
      <c r="H33" s="86">
        <v>7.73</v>
      </c>
      <c r="I33" s="86">
        <v>7.51</v>
      </c>
    </row>
    <row r="34" spans="2:9" x14ac:dyDescent="0.25">
      <c r="B34" s="85">
        <f t="shared" si="1"/>
        <v>28</v>
      </c>
      <c r="C34" s="86">
        <v>996.31</v>
      </c>
      <c r="D34" s="87">
        <v>8.3299999999999997E-4</v>
      </c>
      <c r="E34" s="84">
        <f t="shared" si="0"/>
        <v>8.3608515421906841E-7</v>
      </c>
      <c r="F34" s="86">
        <v>3.7789999999999999</v>
      </c>
      <c r="G34" s="86">
        <v>7.81</v>
      </c>
      <c r="H34" s="86">
        <v>7.59</v>
      </c>
      <c r="I34" s="86">
        <v>7.38</v>
      </c>
    </row>
    <row r="35" spans="2:9" x14ac:dyDescent="0.25">
      <c r="B35" s="85">
        <f t="shared" si="1"/>
        <v>29</v>
      </c>
      <c r="C35" s="86">
        <v>996.02</v>
      </c>
      <c r="D35" s="87">
        <v>8.1499999999999997E-4</v>
      </c>
      <c r="E35" s="84">
        <f t="shared" si="0"/>
        <v>8.1825666151282104E-7</v>
      </c>
      <c r="F35" s="86">
        <v>4.0039999999999996</v>
      </c>
      <c r="G35" s="86">
        <v>7.67</v>
      </c>
      <c r="H35" s="86">
        <v>7.46</v>
      </c>
      <c r="I35" s="86">
        <v>7.26</v>
      </c>
    </row>
    <row r="36" spans="2:9" x14ac:dyDescent="0.25">
      <c r="B36" s="85">
        <f t="shared" si="1"/>
        <v>30</v>
      </c>
      <c r="C36" s="86">
        <v>995.71</v>
      </c>
      <c r="D36" s="87">
        <v>7.9799999999999999E-4</v>
      </c>
      <c r="E36" s="84">
        <f t="shared" si="0"/>
        <v>8.0143816974821981E-7</v>
      </c>
      <c r="F36" s="86">
        <v>4.242</v>
      </c>
      <c r="G36" s="86">
        <v>7.54</v>
      </c>
      <c r="H36" s="86">
        <v>7.33</v>
      </c>
      <c r="I36" s="86">
        <v>7.14</v>
      </c>
    </row>
    <row r="37" spans="2:9" x14ac:dyDescent="0.25">
      <c r="B37" s="85">
        <f t="shared" si="1"/>
        <v>31</v>
      </c>
      <c r="C37" s="86">
        <v>995.41</v>
      </c>
      <c r="D37" s="87">
        <v>7.8100000000000001E-4</v>
      </c>
      <c r="E37" s="84">
        <f t="shared" si="0"/>
        <v>7.8460132005907112E-7</v>
      </c>
      <c r="F37" s="86">
        <v>4.4909999999999997</v>
      </c>
      <c r="G37" s="86">
        <v>7.41</v>
      </c>
      <c r="H37" s="86">
        <v>7.21</v>
      </c>
      <c r="I37" s="86">
        <v>7.02</v>
      </c>
    </row>
    <row r="38" spans="2:9" x14ac:dyDescent="0.25">
      <c r="B38" s="85">
        <f t="shared" si="1"/>
        <v>32</v>
      </c>
      <c r="C38" s="86">
        <v>995.09</v>
      </c>
      <c r="D38" s="87">
        <v>7.6499999999999995E-4</v>
      </c>
      <c r="E38" s="84">
        <f t="shared" si="0"/>
        <v>7.6877468369695196E-7</v>
      </c>
      <c r="F38" s="86">
        <v>4.7539999999999996</v>
      </c>
      <c r="G38" s="86">
        <v>7.29</v>
      </c>
      <c r="H38" s="86">
        <v>7.09</v>
      </c>
      <c r="I38" s="86">
        <v>6.9</v>
      </c>
    </row>
    <row r="39" spans="2:9" x14ac:dyDescent="0.25">
      <c r="B39" s="85">
        <f t="shared" si="1"/>
        <v>33</v>
      </c>
      <c r="C39" s="86">
        <v>994.76</v>
      </c>
      <c r="D39" s="87">
        <v>7.4899999999999999E-4</v>
      </c>
      <c r="E39" s="84">
        <f t="shared" si="0"/>
        <v>7.5294543407455063E-7</v>
      </c>
      <c r="F39" s="86">
        <v>5.0289999999999999</v>
      </c>
      <c r="G39" s="86">
        <v>7.17</v>
      </c>
      <c r="H39" s="86">
        <v>6.98</v>
      </c>
      <c r="I39" s="86">
        <v>6.79</v>
      </c>
    </row>
    <row r="40" spans="2:9" x14ac:dyDescent="0.25">
      <c r="B40" s="85">
        <f t="shared" si="1"/>
        <v>34</v>
      </c>
      <c r="C40" s="86">
        <v>994.43</v>
      </c>
      <c r="D40" s="87">
        <v>7.3399999999999995E-4</v>
      </c>
      <c r="E40" s="84">
        <f t="shared" si="0"/>
        <v>7.3811127982864557E-7</v>
      </c>
      <c r="F40" s="86">
        <v>5.3179999999999996</v>
      </c>
      <c r="G40" s="86">
        <v>7.05</v>
      </c>
      <c r="H40" s="86">
        <v>6.86</v>
      </c>
      <c r="I40" s="86">
        <v>6.68</v>
      </c>
    </row>
    <row r="41" spans="2:9" x14ac:dyDescent="0.25">
      <c r="B41" s="85">
        <f t="shared" si="1"/>
        <v>35</v>
      </c>
      <c r="C41" s="86">
        <v>994.08</v>
      </c>
      <c r="D41" s="87">
        <v>7.2000000000000005E-4</v>
      </c>
      <c r="E41" s="84">
        <f t="shared" si="0"/>
        <v>7.2428778367938198E-7</v>
      </c>
      <c r="F41" s="86">
        <v>5.6219999999999999</v>
      </c>
      <c r="G41" s="86">
        <v>6.93</v>
      </c>
      <c r="H41" s="86">
        <v>6.75</v>
      </c>
      <c r="I41" s="86">
        <v>6.58</v>
      </c>
    </row>
    <row r="42" spans="2:9" x14ac:dyDescent="0.25">
      <c r="B42" s="85">
        <f t="shared" si="1"/>
        <v>36</v>
      </c>
      <c r="C42" s="86">
        <v>993.73</v>
      </c>
      <c r="D42" s="87">
        <v>7.0500000000000001E-4</v>
      </c>
      <c r="E42" s="84">
        <f t="shared" si="0"/>
        <v>7.0944824046773266E-7</v>
      </c>
      <c r="F42" s="86">
        <v>5.94</v>
      </c>
      <c r="G42" s="86">
        <v>6.82</v>
      </c>
      <c r="H42" s="86">
        <v>6.65</v>
      </c>
      <c r="I42" s="86">
        <v>6.47</v>
      </c>
    </row>
    <row r="43" spans="2:9" x14ac:dyDescent="0.25">
      <c r="B43" s="85">
        <f t="shared" si="1"/>
        <v>37</v>
      </c>
      <c r="C43" s="86">
        <v>993.37</v>
      </c>
      <c r="D43" s="87">
        <v>6.9200000000000002E-4</v>
      </c>
      <c r="E43" s="84">
        <f t="shared" si="0"/>
        <v>6.9661858119331165E-7</v>
      </c>
      <c r="F43" s="86">
        <v>6.274</v>
      </c>
      <c r="G43" s="86">
        <v>6.72</v>
      </c>
      <c r="H43" s="86">
        <v>6.54</v>
      </c>
      <c r="I43" s="86">
        <v>6.37</v>
      </c>
    </row>
    <row r="44" spans="2:9" x14ac:dyDescent="0.25">
      <c r="B44" s="85">
        <f t="shared" si="1"/>
        <v>38</v>
      </c>
      <c r="C44" s="86">
        <v>993</v>
      </c>
      <c r="D44" s="87">
        <v>6.78E-4</v>
      </c>
      <c r="E44" s="84">
        <f t="shared" si="0"/>
        <v>6.8277945619335344E-7</v>
      </c>
      <c r="F44" s="86">
        <v>6.6239999999999997</v>
      </c>
      <c r="G44" s="86">
        <v>6.61</v>
      </c>
      <c r="H44" s="86">
        <v>6.44</v>
      </c>
      <c r="I44" s="86">
        <v>6.28</v>
      </c>
    </row>
    <row r="45" spans="2:9" x14ac:dyDescent="0.25">
      <c r="B45" s="85">
        <f t="shared" si="1"/>
        <v>39</v>
      </c>
      <c r="C45" s="86">
        <v>992.63</v>
      </c>
      <c r="D45" s="87">
        <v>6.6600000000000003E-4</v>
      </c>
      <c r="E45" s="84">
        <f t="shared" si="0"/>
        <v>6.709448636450642E-7</v>
      </c>
      <c r="F45" s="86">
        <v>6.9909999999999997</v>
      </c>
      <c r="G45" s="86">
        <v>6.51</v>
      </c>
      <c r="H45" s="86">
        <v>6.34</v>
      </c>
      <c r="I45" s="86">
        <v>6.18</v>
      </c>
    </row>
    <row r="46" spans="2:9" x14ac:dyDescent="0.25">
      <c r="B46" s="85">
        <f t="shared" si="1"/>
        <v>40</v>
      </c>
      <c r="C46" s="86">
        <v>992.25</v>
      </c>
      <c r="D46" s="87">
        <v>6.5300000000000004E-4</v>
      </c>
      <c r="E46" s="84">
        <f t="shared" si="0"/>
        <v>6.5810027714789624E-7</v>
      </c>
      <c r="F46" s="86">
        <v>7.375</v>
      </c>
      <c r="G46" s="86">
        <v>6.41</v>
      </c>
      <c r="H46" s="86">
        <v>6.25</v>
      </c>
      <c r="I46" s="86">
        <v>6.09</v>
      </c>
    </row>
    <row r="47" spans="2:9" ht="29.25" customHeight="1" x14ac:dyDescent="0.25">
      <c r="B47" s="629" t="s">
        <v>134</v>
      </c>
      <c r="C47" s="630"/>
      <c r="D47" s="630"/>
      <c r="E47" s="630"/>
      <c r="F47" s="631"/>
      <c r="G47" s="632" t="s">
        <v>135</v>
      </c>
      <c r="H47" s="633"/>
      <c r="I47" s="634"/>
    </row>
    <row r="48" spans="2:9" x14ac:dyDescent="0.25">
      <c r="B48" s="89" t="s">
        <v>133</v>
      </c>
      <c r="C48" s="88"/>
      <c r="D48" s="88"/>
      <c r="E48" s="90"/>
      <c r="F48" s="91"/>
      <c r="G48" s="619"/>
      <c r="H48" s="635"/>
      <c r="I48" s="636"/>
    </row>
  </sheetData>
  <mergeCells count="9">
    <mergeCell ref="B47:F47"/>
    <mergeCell ref="G47:I48"/>
    <mergeCell ref="G3:I3"/>
    <mergeCell ref="G4:I4"/>
    <mergeCell ref="B4:B5"/>
    <mergeCell ref="C4:C5"/>
    <mergeCell ref="D4:D5"/>
    <mergeCell ref="E4:E5"/>
    <mergeCell ref="F4:F5"/>
  </mergeCells>
  <hyperlinks>
    <hyperlink ref="B48" r:id="rId1" xr:uid="{9FE71EA8-9069-4AFE-825C-CDD5C6B10D1A}"/>
  </hyperlinks>
  <pageMargins left="0.7" right="0.7" top="0.75" bottom="0.75" header="0.3" footer="0.3"/>
  <pageSetup paperSize="9" orientation="portrait" horizontalDpi="0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92356-6F47-4C29-9291-0EC6A6C87717}">
  <dimension ref="A1:H19"/>
  <sheetViews>
    <sheetView showGridLines="0" zoomScale="75" zoomScaleNormal="75" workbookViewId="0">
      <selection activeCell="B40" sqref="B40"/>
    </sheetView>
  </sheetViews>
  <sheetFormatPr baseColWidth="10" defaultRowHeight="15" x14ac:dyDescent="0.25"/>
  <cols>
    <col min="1" max="1" width="27.85546875" customWidth="1"/>
    <col min="2" max="2" width="44.5703125" customWidth="1"/>
    <col min="3" max="3" width="10.5703125" customWidth="1"/>
    <col min="4" max="4" width="7.5703125" customWidth="1"/>
    <col min="5" max="5" width="9.42578125" customWidth="1"/>
    <col min="6" max="6" width="4.42578125" customWidth="1"/>
    <col min="7" max="7" width="9.85546875" customWidth="1"/>
    <col min="8" max="8" width="4.85546875" customWidth="1"/>
  </cols>
  <sheetData>
    <row r="1" spans="1:8" x14ac:dyDescent="0.25">
      <c r="C1" s="193" t="s">
        <v>216</v>
      </c>
    </row>
    <row r="2" spans="1:8" ht="25.5" customHeight="1" x14ac:dyDescent="0.25">
      <c r="A2" s="205"/>
      <c r="B2" s="206" t="s">
        <v>234</v>
      </c>
      <c r="C2" s="209">
        <v>7.5</v>
      </c>
      <c r="D2" s="207" t="s">
        <v>252</v>
      </c>
    </row>
    <row r="3" spans="1:8" ht="15.95" customHeight="1" x14ac:dyDescent="0.25">
      <c r="B3" s="194" t="s">
        <v>202</v>
      </c>
      <c r="C3" s="643" t="s">
        <v>203</v>
      </c>
      <c r="D3" s="644"/>
      <c r="E3" s="643" t="s">
        <v>150</v>
      </c>
      <c r="F3" s="648"/>
      <c r="G3" s="643" t="s">
        <v>204</v>
      </c>
      <c r="H3" s="644"/>
    </row>
    <row r="4" spans="1:8" ht="15.95" customHeight="1" x14ac:dyDescent="0.25">
      <c r="B4" s="178" t="s">
        <v>205</v>
      </c>
      <c r="C4" s="179">
        <v>4.74</v>
      </c>
      <c r="D4" s="72" t="s">
        <v>206</v>
      </c>
      <c r="E4" s="180">
        <f>4*2+ 4*0.85</f>
        <v>11.4</v>
      </c>
      <c r="F4" s="181" t="s">
        <v>26</v>
      </c>
      <c r="G4" s="179">
        <f t="shared" ref="G4:G7" si="0">C4*E4</f>
        <v>54.036000000000001</v>
      </c>
      <c r="H4" s="72" t="s">
        <v>207</v>
      </c>
    </row>
    <row r="5" spans="1:8" ht="15.95" customHeight="1" x14ac:dyDescent="0.25">
      <c r="B5" s="178" t="s">
        <v>208</v>
      </c>
      <c r="C5" s="182">
        <v>2.5299999999999998</v>
      </c>
      <c r="D5" s="183" t="s">
        <v>206</v>
      </c>
      <c r="E5" s="198">
        <f>6*2</f>
        <v>12</v>
      </c>
      <c r="F5" s="184" t="s">
        <v>26</v>
      </c>
      <c r="G5" s="179">
        <f t="shared" si="0"/>
        <v>30.36</v>
      </c>
      <c r="H5" s="72" t="s">
        <v>207</v>
      </c>
    </row>
    <row r="6" spans="1:8" ht="15.95" customHeight="1" x14ac:dyDescent="0.25">
      <c r="B6" s="178" t="s">
        <v>249</v>
      </c>
      <c r="C6" s="179">
        <f>45*C2/100</f>
        <v>3.375</v>
      </c>
      <c r="D6" s="72" t="s">
        <v>209</v>
      </c>
      <c r="E6" s="181">
        <f>2*0.75*1.5</f>
        <v>2.25</v>
      </c>
      <c r="F6" s="181" t="s">
        <v>72</v>
      </c>
      <c r="G6" s="179">
        <f t="shared" si="0"/>
        <v>7.59375</v>
      </c>
      <c r="H6" s="72" t="s">
        <v>207</v>
      </c>
    </row>
    <row r="7" spans="1:8" ht="15.95" customHeight="1" x14ac:dyDescent="0.25">
      <c r="B7" s="178" t="s">
        <v>231</v>
      </c>
      <c r="C7" s="179">
        <v>5.78</v>
      </c>
      <c r="D7" s="72" t="s">
        <v>209</v>
      </c>
      <c r="E7" s="185">
        <f>2*0.75*1.5</f>
        <v>2.25</v>
      </c>
      <c r="F7" s="181" t="s">
        <v>72</v>
      </c>
      <c r="G7" s="179">
        <f t="shared" si="0"/>
        <v>13.005000000000001</v>
      </c>
      <c r="H7" s="72" t="s">
        <v>207</v>
      </c>
    </row>
    <row r="8" spans="1:8" ht="15.95" customHeight="1" x14ac:dyDescent="0.25">
      <c r="B8" s="186" t="s">
        <v>210</v>
      </c>
      <c r="C8" s="178"/>
      <c r="D8" s="103"/>
      <c r="E8" s="187"/>
      <c r="F8" s="187"/>
      <c r="G8" s="188">
        <f>SUM(G4:G7)</f>
        <v>104.99475</v>
      </c>
      <c r="H8" s="103" t="s">
        <v>207</v>
      </c>
    </row>
    <row r="9" spans="1:8" ht="15.95" customHeight="1" x14ac:dyDescent="0.25">
      <c r="B9" s="178" t="s">
        <v>211</v>
      </c>
      <c r="C9" s="179">
        <f>1000*0.25*3.14*(0.05+0.005)^2</f>
        <v>2.374625</v>
      </c>
      <c r="D9" s="72" t="s">
        <v>206</v>
      </c>
      <c r="E9" s="185">
        <f>1.6+9*0.15</f>
        <v>2.95</v>
      </c>
      <c r="F9" s="181" t="s">
        <v>26</v>
      </c>
      <c r="G9" s="179">
        <f t="shared" ref="G9:G12" si="1">C9*E9</f>
        <v>7.0051437500000002</v>
      </c>
      <c r="H9" s="72" t="s">
        <v>207</v>
      </c>
    </row>
    <row r="10" spans="1:8" ht="15.95" customHeight="1" x14ac:dyDescent="0.25">
      <c r="B10" s="178" t="s">
        <v>212</v>
      </c>
      <c r="C10" s="179">
        <f>1000*0.14*0.25*3.14*(0.025*1.5+0.005)^2</f>
        <v>0.19850687500000005</v>
      </c>
      <c r="D10" s="72" t="s">
        <v>122</v>
      </c>
      <c r="E10" s="181">
        <v>9</v>
      </c>
      <c r="F10" s="181" t="s">
        <v>10</v>
      </c>
      <c r="G10" s="179">
        <f t="shared" si="1"/>
        <v>1.7865618750000005</v>
      </c>
      <c r="H10" s="72" t="s">
        <v>207</v>
      </c>
    </row>
    <row r="11" spans="1:8" ht="15.95" customHeight="1" x14ac:dyDescent="0.25">
      <c r="B11" s="178" t="s">
        <v>213</v>
      </c>
      <c r="C11" s="179">
        <f>1000*0.25*3.14*(0.025*0.75+0.005)^2</f>
        <v>0.44278906250000016</v>
      </c>
      <c r="D11" s="72" t="s">
        <v>206</v>
      </c>
      <c r="E11" s="181">
        <f>18*0.6</f>
        <v>10.799999999999999</v>
      </c>
      <c r="F11" s="181" t="s">
        <v>26</v>
      </c>
      <c r="G11" s="179">
        <f t="shared" si="1"/>
        <v>4.7821218750000014</v>
      </c>
      <c r="H11" s="72" t="s">
        <v>207</v>
      </c>
    </row>
    <row r="12" spans="1:8" ht="15.95" customHeight="1" x14ac:dyDescent="0.25">
      <c r="B12" s="178" t="s">
        <v>217</v>
      </c>
      <c r="C12" s="179">
        <f>1000*0.25*3.14*(0.025*2.5+0.005)^2</f>
        <v>3.5766562500000005</v>
      </c>
      <c r="D12" s="72" t="s">
        <v>206</v>
      </c>
      <c r="E12" s="181">
        <v>1.5</v>
      </c>
      <c r="F12" s="181" t="s">
        <v>26</v>
      </c>
      <c r="G12" s="179">
        <f t="shared" si="1"/>
        <v>5.3649843750000006</v>
      </c>
      <c r="H12" s="72" t="s">
        <v>207</v>
      </c>
    </row>
    <row r="13" spans="1:8" ht="15.95" customHeight="1" x14ac:dyDescent="0.25">
      <c r="B13" s="186" t="s">
        <v>204</v>
      </c>
      <c r="C13" s="178"/>
      <c r="D13" s="103"/>
      <c r="E13" s="187"/>
      <c r="F13" s="187"/>
      <c r="G13" s="188">
        <f>SUM(G8:G12)</f>
        <v>123.93356187500001</v>
      </c>
      <c r="H13" s="103" t="s">
        <v>207</v>
      </c>
    </row>
    <row r="14" spans="1:8" ht="15.95" customHeight="1" x14ac:dyDescent="0.25">
      <c r="B14" s="189" t="s">
        <v>214</v>
      </c>
      <c r="C14" s="190"/>
      <c r="D14" s="183"/>
      <c r="E14" s="184"/>
      <c r="F14" s="184"/>
      <c r="G14" s="191">
        <f>G13/1000</f>
        <v>0.12393356187500001</v>
      </c>
      <c r="H14" s="183" t="s">
        <v>60</v>
      </c>
    </row>
    <row r="15" spans="1:8" ht="15.95" customHeight="1" x14ac:dyDescent="0.25">
      <c r="B15" s="189" t="s">
        <v>215</v>
      </c>
      <c r="C15" s="190"/>
      <c r="D15" s="183"/>
      <c r="E15" s="184"/>
      <c r="F15" s="184"/>
      <c r="G15" s="192">
        <f>2*1.5*C2/100</f>
        <v>0.22500000000000001</v>
      </c>
      <c r="H15" s="183" t="s">
        <v>72</v>
      </c>
    </row>
    <row r="16" spans="1:8" ht="15.95" customHeight="1" x14ac:dyDescent="0.25">
      <c r="A16" s="205"/>
      <c r="B16" s="189" t="s">
        <v>233</v>
      </c>
      <c r="C16" s="208" t="s">
        <v>232</v>
      </c>
      <c r="D16" s="183"/>
      <c r="E16" s="184"/>
      <c r="F16" s="184"/>
      <c r="G16" s="192">
        <f>G14/G15</f>
        <v>0.55081583055555561</v>
      </c>
      <c r="H16" s="183" t="s">
        <v>26</v>
      </c>
    </row>
    <row r="17" spans="2:8" ht="15.95" customHeight="1" x14ac:dyDescent="0.25">
      <c r="B17" s="178" t="s">
        <v>251</v>
      </c>
      <c r="C17" s="266"/>
      <c r="D17" s="267"/>
      <c r="E17" s="267"/>
      <c r="F17" s="268"/>
      <c r="G17" s="192">
        <v>0.85</v>
      </c>
      <c r="H17" s="72" t="s">
        <v>26</v>
      </c>
    </row>
    <row r="18" spans="2:8" ht="15.95" customHeight="1" x14ac:dyDescent="0.25">
      <c r="B18" s="189" t="s">
        <v>59</v>
      </c>
      <c r="C18" s="645"/>
      <c r="D18" s="646"/>
      <c r="E18" s="646"/>
      <c r="F18" s="647"/>
      <c r="G18" s="192">
        <f>G17-G16</f>
        <v>0.29918416944444437</v>
      </c>
      <c r="H18" s="183" t="s">
        <v>26</v>
      </c>
    </row>
    <row r="19" spans="2:8" x14ac:dyDescent="0.25">
      <c r="B19" s="189" t="s">
        <v>253</v>
      </c>
      <c r="C19" s="645"/>
      <c r="D19" s="646"/>
      <c r="E19" s="646"/>
      <c r="F19" s="647"/>
      <c r="G19" s="192">
        <v>0.16</v>
      </c>
      <c r="H19" s="183" t="s">
        <v>26</v>
      </c>
    </row>
  </sheetData>
  <mergeCells count="5">
    <mergeCell ref="G3:H3"/>
    <mergeCell ref="C19:F19"/>
    <mergeCell ref="C18:F18"/>
    <mergeCell ref="C3:D3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05997-58F8-4DDB-BBBE-A43E42D3E4CF}">
  <dimension ref="A1:Q96"/>
  <sheetViews>
    <sheetView showGridLines="0" zoomScale="75" zoomScaleNormal="75" workbookViewId="0">
      <selection activeCell="E4" sqref="E4"/>
    </sheetView>
  </sheetViews>
  <sheetFormatPr baseColWidth="10" defaultRowHeight="15" x14ac:dyDescent="0.25"/>
  <cols>
    <col min="1" max="1" width="27.140625" customWidth="1"/>
    <col min="2" max="6" width="20.7109375" customWidth="1"/>
    <col min="7" max="7" width="22.28515625" customWidth="1"/>
  </cols>
  <sheetData>
    <row r="1" spans="1:17" ht="30" customHeight="1" x14ac:dyDescent="0.25">
      <c r="C1" s="397" t="s">
        <v>344</v>
      </c>
    </row>
    <row r="2" spans="1:17" ht="15.75" x14ac:dyDescent="0.25">
      <c r="B2" s="279" t="s">
        <v>259</v>
      </c>
      <c r="C2" s="280">
        <f>'Parrilla de Aireación'!E67</f>
        <v>8.1439145776738346</v>
      </c>
      <c r="D2" s="281" t="s">
        <v>26</v>
      </c>
      <c r="E2" s="282"/>
    </row>
    <row r="3" spans="1:17" ht="15.75" x14ac:dyDescent="0.25">
      <c r="B3" s="392" t="s">
        <v>260</v>
      </c>
      <c r="C3" s="283" t="s">
        <v>61</v>
      </c>
      <c r="D3" s="284" t="s">
        <v>68</v>
      </c>
      <c r="E3" s="285" t="s">
        <v>21</v>
      </c>
    </row>
    <row r="4" spans="1:17" ht="15.75" x14ac:dyDescent="0.25">
      <c r="B4" s="392"/>
      <c r="C4" s="286">
        <f>'Parrilla de Aireación'!D62</f>
        <v>58.887796740300011</v>
      </c>
      <c r="D4" s="287">
        <f>'Parrilla de Aireación'!E62</f>
        <v>259.10630565732004</v>
      </c>
      <c r="E4" s="286">
        <f>'Parrilla de Aireación'!F62</f>
        <v>16.357721316750002</v>
      </c>
    </row>
    <row r="5" spans="1:17" ht="36" customHeight="1" x14ac:dyDescent="0.25">
      <c r="A5" s="288" t="s">
        <v>70</v>
      </c>
      <c r="B5" s="289" t="s">
        <v>126</v>
      </c>
      <c r="C5" s="289" t="s">
        <v>225</v>
      </c>
      <c r="D5" s="289" t="s">
        <v>102</v>
      </c>
      <c r="E5" s="290" t="s">
        <v>121</v>
      </c>
      <c r="F5" s="289" t="s">
        <v>345</v>
      </c>
    </row>
    <row r="6" spans="1:17" ht="18" customHeight="1" x14ac:dyDescent="0.25">
      <c r="A6" s="288" t="s">
        <v>71</v>
      </c>
      <c r="B6" s="291" t="s">
        <v>120</v>
      </c>
      <c r="C6" s="291" t="s">
        <v>226</v>
      </c>
      <c r="D6" s="291" t="s">
        <v>163</v>
      </c>
      <c r="E6" s="292" t="s">
        <v>222</v>
      </c>
      <c r="F6" s="291" t="s">
        <v>346</v>
      </c>
    </row>
    <row r="7" spans="1:17" ht="18" customHeight="1" x14ac:dyDescent="0.25">
      <c r="A7" s="288" t="s">
        <v>93</v>
      </c>
      <c r="B7" s="291">
        <v>159</v>
      </c>
      <c r="C7" s="291" t="s">
        <v>219</v>
      </c>
      <c r="D7" s="291" t="s">
        <v>162</v>
      </c>
      <c r="E7" s="293" t="s">
        <v>223</v>
      </c>
      <c r="F7" s="291" t="s">
        <v>347</v>
      </c>
    </row>
    <row r="8" spans="1:17" ht="18" customHeight="1" x14ac:dyDescent="0.25">
      <c r="A8" s="288" t="s">
        <v>94</v>
      </c>
      <c r="B8" s="294">
        <v>1750</v>
      </c>
      <c r="C8" s="294">
        <v>1750</v>
      </c>
      <c r="D8" s="294">
        <v>1750</v>
      </c>
      <c r="E8" s="294">
        <v>1150</v>
      </c>
      <c r="F8" s="294">
        <v>1170</v>
      </c>
    </row>
    <row r="9" spans="1:17" ht="18" customHeight="1" x14ac:dyDescent="0.25">
      <c r="A9" s="288" t="s">
        <v>261</v>
      </c>
      <c r="B9" s="294" t="s">
        <v>95</v>
      </c>
      <c r="C9" s="294" t="s">
        <v>220</v>
      </c>
      <c r="D9" s="295" t="s">
        <v>164</v>
      </c>
      <c r="E9" s="294" t="s">
        <v>218</v>
      </c>
      <c r="F9" s="295" t="s">
        <v>218</v>
      </c>
    </row>
    <row r="10" spans="1:17" ht="18" customHeight="1" x14ac:dyDescent="0.25">
      <c r="A10" s="296" t="s">
        <v>96</v>
      </c>
      <c r="B10" s="297">
        <v>0.8</v>
      </c>
      <c r="C10" s="298">
        <v>0.78</v>
      </c>
      <c r="D10" s="299">
        <v>0.78</v>
      </c>
      <c r="E10" s="300">
        <v>0.8</v>
      </c>
      <c r="F10" s="299">
        <v>0.8</v>
      </c>
    </row>
    <row r="11" spans="1:17" ht="18" customHeight="1" x14ac:dyDescent="0.25">
      <c r="A11" s="288" t="s">
        <v>98</v>
      </c>
      <c r="B11" s="291" t="s">
        <v>97</v>
      </c>
      <c r="C11" s="291" t="s">
        <v>221</v>
      </c>
      <c r="D11" s="291" t="s">
        <v>99</v>
      </c>
      <c r="E11" s="292" t="s">
        <v>224</v>
      </c>
      <c r="F11" s="291" t="s">
        <v>348</v>
      </c>
    </row>
    <row r="14" spans="1:17" ht="20.25" x14ac:dyDescent="0.3">
      <c r="C14" s="197" t="s">
        <v>227</v>
      </c>
      <c r="H14" s="197" t="s">
        <v>228</v>
      </c>
      <c r="Q14" s="197" t="s">
        <v>229</v>
      </c>
    </row>
    <row r="38" spans="3:3" ht="20.25" x14ac:dyDescent="0.3">
      <c r="C38" s="197"/>
    </row>
    <row r="39" spans="3:3" ht="20.25" x14ac:dyDescent="0.3">
      <c r="C39" s="197" t="s">
        <v>230</v>
      </c>
    </row>
    <row r="57" spans="2:8" ht="20.25" x14ac:dyDescent="0.3">
      <c r="H57" s="197" t="s">
        <v>349</v>
      </c>
    </row>
    <row r="59" spans="2:8" ht="20.25" x14ac:dyDescent="0.3">
      <c r="B59" s="197"/>
    </row>
    <row r="65" spans="3:3" ht="20.25" x14ac:dyDescent="0.3">
      <c r="C65" s="197"/>
    </row>
    <row r="69" spans="3:3" ht="20.25" x14ac:dyDescent="0.3">
      <c r="C69" s="197"/>
    </row>
    <row r="96" spans="3:3" ht="20.25" x14ac:dyDescent="0.3">
      <c r="C96" s="197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Parrilla de Aireación</vt:lpstr>
      <vt:lpstr>Conjunto BF</vt:lpstr>
      <vt:lpstr>Tuberías</vt:lpstr>
      <vt:lpstr>Manguera de Succion</vt:lpstr>
      <vt:lpstr>Nitrificación</vt:lpstr>
      <vt:lpstr>Agua-T(°C)</vt:lpstr>
      <vt:lpstr>Flotabilidad Biorreactor</vt:lpstr>
      <vt:lpstr>Altenativas de Bombas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Carlos Paez</cp:lastModifiedBy>
  <cp:revision>1</cp:revision>
  <dcterms:created xsi:type="dcterms:W3CDTF">2016-12-21T15:40:41Z</dcterms:created>
  <dcterms:modified xsi:type="dcterms:W3CDTF">2024-03-27T23:04:01Z</dcterms:modified>
  <dc:language>es-CO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